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ttachedToolbars.bin" ContentType="application/vnd.ms-excel.attachedToolbars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9090" yWindow="480" windowWidth="19170" windowHeight="12990" tabRatio="744" firstSheet="3" activeTab="3"/>
  </bookViews>
  <sheets>
    <sheet name="Translator" sheetId="2" state="hidden" r:id="rId1"/>
    <sheet name="Standards" sheetId="1" state="hidden" r:id="rId2"/>
    <sheet name="Standards Short List" sheetId="8" state="hidden" r:id="rId3"/>
    <sheet name="POC Assessment" sheetId="9" r:id="rId4"/>
  </sheets>
  <externalReferences>
    <externalReference r:id="rId5"/>
  </externalReferences>
  <definedNames>
    <definedName name="_xlnm._FilterDatabase" localSheetId="1" hidden="1">Standards!$B$11:$E$78</definedName>
    <definedName name="AllocationMethod" localSheetId="3">'[1]IU Limits Summary'!$H$56:$H$61</definedName>
    <definedName name="AllocationMethod" localSheetId="2">'[1]IU Limits Summary'!$H$56:$H$61</definedName>
    <definedName name="AllocationMethod">#REF!</definedName>
    <definedName name="_xlnm.Criteria" localSheetId="1">Standards!$V$7:$V$10</definedName>
    <definedName name="LimitUnits" localSheetId="3">'[1]IU Limits Summary'!$I$51:$I$52</definedName>
    <definedName name="LimitUnits" localSheetId="2">'[1]IU Limits Summary'!$I$51:$I$52</definedName>
    <definedName name="LimitUnits">#REF!</definedName>
    <definedName name="_xlnm.Print_Area" localSheetId="3">'POC Assessment'!$A$1:$I$46</definedName>
    <definedName name="_xlnm.Print_Area" localSheetId="2">'Standards Short List'!$B$1:$M$34</definedName>
    <definedName name="Z_1427C86A_26C6_4A3A_B53B_CDE7110D9A30_.wvu.FilterData" localSheetId="1" hidden="1">Standards!$B$11:$E$78</definedName>
  </definedNames>
  <calcPr calcId="145621"/>
  <customWorkbookViews>
    <customWorkbookView name="msweeney - Personal View" guid="{1427C86A-26C6-4A3A-B53B-CDE7110D9A30}" mergeInterval="0" personalView="1" maximized="1" windowWidth="1276" windowHeight="862" activeSheetId="4"/>
  </customWorkbookViews>
</workbook>
</file>

<file path=xl/calcChain.xml><?xml version="1.0" encoding="utf-8"?>
<calcChain xmlns="http://schemas.openxmlformats.org/spreadsheetml/2006/main">
  <c r="I21" i="9" l="1"/>
  <c r="H21" i="9"/>
  <c r="D30" i="9" l="1"/>
  <c r="B18" i="9"/>
  <c r="M6" i="8" l="1"/>
  <c r="D7" i="8"/>
  <c r="B2" i="1" l="1"/>
  <c r="B3" i="8" s="1"/>
  <c r="B1" i="8" l="1"/>
  <c r="G9" i="8"/>
  <c r="F9" i="8"/>
  <c r="E9" i="8"/>
  <c r="D9" i="8"/>
  <c r="F8" i="8"/>
  <c r="D8" i="8"/>
  <c r="D6" i="8"/>
  <c r="I9" i="8"/>
  <c r="H9" i="8"/>
  <c r="H8" i="8"/>
  <c r="H6" i="8"/>
  <c r="L9" i="8"/>
  <c r="K9" i="8"/>
  <c r="J9" i="8"/>
  <c r="J8" i="8"/>
  <c r="J7" i="8"/>
  <c r="J6" i="8"/>
  <c r="M9" i="8"/>
  <c r="M8" i="8"/>
  <c r="B20" i="9" l="1"/>
  <c r="A1" i="1" l="1"/>
  <c r="K70" i="1" s="1"/>
  <c r="B37" i="8"/>
  <c r="B6" i="8" s="1"/>
  <c r="B1" i="1" s="1"/>
  <c r="B3" i="1"/>
  <c r="D20" i="9"/>
  <c r="D19" i="9"/>
  <c r="D18" i="9"/>
  <c r="H18" i="1" l="1"/>
  <c r="F70" i="1"/>
  <c r="E18" i="1"/>
  <c r="I18" i="1"/>
  <c r="G70" i="1"/>
  <c r="D18" i="1"/>
  <c r="F18" i="1"/>
  <c r="D70" i="1"/>
  <c r="H70" i="1"/>
  <c r="K15" i="1"/>
  <c r="G18" i="1"/>
  <c r="E70" i="1"/>
  <c r="D38" i="9" l="1"/>
  <c r="D37" i="9"/>
  <c r="H37" i="9" s="1"/>
  <c r="I37" i="9" s="1"/>
  <c r="D35" i="9"/>
  <c r="H35" i="9" s="1"/>
  <c r="I35" i="9" s="1"/>
  <c r="D34" i="9"/>
  <c r="D33" i="9"/>
  <c r="H33" i="9" s="1"/>
  <c r="I33" i="9" s="1"/>
  <c r="D31" i="9"/>
  <c r="H31" i="9" s="1"/>
  <c r="I31" i="9" s="1"/>
  <c r="D28" i="9"/>
  <c r="H28" i="9" s="1"/>
  <c r="I28" i="9" s="1"/>
  <c r="B8" i="8"/>
  <c r="D27" i="9"/>
  <c r="H27" i="9" s="1"/>
  <c r="I27" i="9" s="1"/>
  <c r="D24" i="9"/>
  <c r="H24" i="9" s="1"/>
  <c r="I24" i="9" s="1"/>
  <c r="D23" i="9"/>
  <c r="H23" i="9" s="1"/>
  <c r="I23" i="9" s="1"/>
  <c r="H18" i="9"/>
  <c r="I18" i="9" s="1"/>
  <c r="D16" i="9"/>
  <c r="H16" i="9" s="1"/>
  <c r="I16" i="9" s="1"/>
  <c r="B39" i="9"/>
  <c r="B38" i="9"/>
  <c r="B37" i="9"/>
  <c r="B36" i="9"/>
  <c r="B35" i="9"/>
  <c r="B34" i="9"/>
  <c r="B33" i="9"/>
  <c r="B32" i="9"/>
  <c r="B30" i="9"/>
  <c r="B29" i="9"/>
  <c r="B28" i="9"/>
  <c r="B27" i="9"/>
  <c r="B26" i="9"/>
  <c r="B23" i="9"/>
  <c r="B22" i="9"/>
  <c r="B19" i="9"/>
  <c r="B17" i="9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K34" i="8"/>
  <c r="K33" i="8"/>
  <c r="K32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5" i="8"/>
  <c r="D21" i="9" s="1"/>
  <c r="H41" i="9" s="1"/>
  <c r="K14" i="8"/>
  <c r="K13" i="8"/>
  <c r="K12" i="8"/>
  <c r="K11" i="8"/>
  <c r="K10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I33" i="8"/>
  <c r="I32" i="8"/>
  <c r="I31" i="8"/>
  <c r="I30" i="8"/>
  <c r="I29" i="8"/>
  <c r="I28" i="8"/>
  <c r="I26" i="8"/>
  <c r="I25" i="8"/>
  <c r="I23" i="8"/>
  <c r="I22" i="8"/>
  <c r="I21" i="8"/>
  <c r="I18" i="8"/>
  <c r="I17" i="8"/>
  <c r="I15" i="8"/>
  <c r="I14" i="8"/>
  <c r="I13" i="8"/>
  <c r="I12" i="8"/>
  <c r="I10" i="8"/>
  <c r="H33" i="8"/>
  <c r="H32" i="8"/>
  <c r="H30" i="8"/>
  <c r="H29" i="8"/>
  <c r="H28" i="8"/>
  <c r="H26" i="8"/>
  <c r="H25" i="8"/>
  <c r="H23" i="8"/>
  <c r="H22" i="8"/>
  <c r="H21" i="8"/>
  <c r="H18" i="8"/>
  <c r="H17" i="8"/>
  <c r="H15" i="8"/>
  <c r="H14" i="8"/>
  <c r="H13" i="8"/>
  <c r="H12" i="8"/>
  <c r="H10" i="8"/>
  <c r="G33" i="8"/>
  <c r="G32" i="8"/>
  <c r="G30" i="8"/>
  <c r="G29" i="8"/>
  <c r="G28" i="8"/>
  <c r="G26" i="8"/>
  <c r="G25" i="8"/>
  <c r="G22" i="8"/>
  <c r="G21" i="8"/>
  <c r="G18" i="8"/>
  <c r="G17" i="8"/>
  <c r="G15" i="8"/>
  <c r="G14" i="8"/>
  <c r="G13" i="8"/>
  <c r="G12" i="8"/>
  <c r="G10" i="8"/>
  <c r="F33" i="8"/>
  <c r="F32" i="8"/>
  <c r="F30" i="8"/>
  <c r="F29" i="8"/>
  <c r="F28" i="8"/>
  <c r="F26" i="8"/>
  <c r="F25" i="8"/>
  <c r="F23" i="8"/>
  <c r="F22" i="8"/>
  <c r="F21" i="8"/>
  <c r="F18" i="8"/>
  <c r="F17" i="8"/>
  <c r="F15" i="8"/>
  <c r="F14" i="8"/>
  <c r="F13" i="8"/>
  <c r="F12" i="8"/>
  <c r="F10" i="8"/>
  <c r="E33" i="8"/>
  <c r="E32" i="8"/>
  <c r="E30" i="8"/>
  <c r="E29" i="8"/>
  <c r="E28" i="8"/>
  <c r="E26" i="8"/>
  <c r="E25" i="8"/>
  <c r="E23" i="8"/>
  <c r="E22" i="8"/>
  <c r="E21" i="8"/>
  <c r="E18" i="8"/>
  <c r="E17" i="8"/>
  <c r="E15" i="8"/>
  <c r="E14" i="8"/>
  <c r="E13" i="8"/>
  <c r="E12" i="8"/>
  <c r="E10" i="8"/>
  <c r="D33" i="8"/>
  <c r="D32" i="8"/>
  <c r="D30" i="8"/>
  <c r="D29" i="8"/>
  <c r="D28" i="8"/>
  <c r="D26" i="8"/>
  <c r="D25" i="8"/>
  <c r="D23" i="8"/>
  <c r="D22" i="8"/>
  <c r="D21" i="8"/>
  <c r="D18" i="8"/>
  <c r="D17" i="8"/>
  <c r="D15" i="8"/>
  <c r="D14" i="8"/>
  <c r="D13" i="8"/>
  <c r="D12" i="8"/>
  <c r="D10" i="8"/>
  <c r="B34" i="8"/>
  <c r="B33" i="8"/>
  <c r="B32" i="8"/>
  <c r="B31" i="8"/>
  <c r="B30" i="8"/>
  <c r="B29" i="8"/>
  <c r="B28" i="8"/>
  <c r="B27" i="8"/>
  <c r="B26" i="8"/>
  <c r="B25" i="8"/>
  <c r="B24" i="8"/>
  <c r="G23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38" i="9"/>
  <c r="H38" i="9"/>
  <c r="I34" i="9"/>
  <c r="H34" i="9"/>
  <c r="H30" i="9"/>
  <c r="I30" i="9" s="1"/>
  <c r="I25" i="9"/>
  <c r="H25" i="9"/>
  <c r="B25" i="9"/>
  <c r="H20" i="9"/>
  <c r="I20" i="9" s="1"/>
  <c r="H19" i="9"/>
  <c r="I19" i="9" s="1"/>
  <c r="I17" i="9"/>
  <c r="H17" i="9"/>
  <c r="I15" i="9"/>
  <c r="B7" i="8"/>
  <c r="I41" i="9" l="1"/>
  <c r="E17" i="1"/>
  <c r="E10" i="1" l="1"/>
  <c r="E11" i="8" s="1"/>
  <c r="D17" i="9" s="1"/>
  <c r="D9" i="1"/>
  <c r="E9" i="1"/>
  <c r="F9" i="1"/>
  <c r="G9" i="1"/>
  <c r="B10" i="1"/>
  <c r="B11" i="1" s="1"/>
  <c r="D10" i="1"/>
  <c r="D11" i="8" s="1"/>
  <c r="F10" i="1"/>
  <c r="F11" i="8" s="1"/>
  <c r="H10" i="1"/>
  <c r="H11" i="8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D12" i="1"/>
  <c r="E12" i="1"/>
  <c r="F12" i="1"/>
  <c r="G12" i="1"/>
  <c r="H12" i="1"/>
  <c r="I12" i="1"/>
  <c r="D17" i="1"/>
  <c r="F17" i="1"/>
  <c r="G17" i="1"/>
  <c r="H17" i="1"/>
  <c r="I17" i="1"/>
  <c r="H25" i="1"/>
  <c r="I25" i="1"/>
  <c r="C25" i="2" l="1"/>
  <c r="I19" i="1"/>
  <c r="I20" i="8" s="1"/>
  <c r="E73" i="1"/>
  <c r="E34" i="8" s="1"/>
  <c r="D39" i="9" s="1"/>
  <c r="H39" i="9" s="1"/>
  <c r="I39" i="9" s="1"/>
  <c r="I73" i="1"/>
  <c r="I34" i="8" s="1"/>
  <c r="D31" i="8"/>
  <c r="F19" i="8"/>
  <c r="G73" i="1"/>
  <c r="G34" i="8" s="1"/>
  <c r="H31" i="8"/>
  <c r="F26" i="1"/>
  <c r="F27" i="8" s="1"/>
  <c r="E19" i="1"/>
  <c r="E20" i="8" s="1"/>
  <c r="D26" i="9" s="1"/>
  <c r="H26" i="9" s="1"/>
  <c r="I26" i="9" s="1"/>
  <c r="D25" i="2"/>
  <c r="F31" i="8"/>
  <c r="H26" i="1"/>
  <c r="H27" i="8" s="1"/>
  <c r="D26" i="1"/>
  <c r="D27" i="8" s="1"/>
  <c r="G19" i="1"/>
  <c r="G20" i="8" s="1"/>
  <c r="H19" i="8"/>
  <c r="D19" i="8"/>
  <c r="I10" i="1"/>
  <c r="G10" i="1"/>
  <c r="G11" i="8" s="1"/>
  <c r="H73" i="1"/>
  <c r="H34" i="8" s="1"/>
  <c r="F73" i="1"/>
  <c r="F34" i="8" s="1"/>
  <c r="D73" i="1"/>
  <c r="D34" i="8" s="1"/>
  <c r="G31" i="8"/>
  <c r="I26" i="1"/>
  <c r="I27" i="8" s="1"/>
  <c r="G26" i="1"/>
  <c r="G27" i="8" s="1"/>
  <c r="E26" i="1"/>
  <c r="E27" i="8" s="1"/>
  <c r="D32" i="9" s="1"/>
  <c r="H32" i="9" s="1"/>
  <c r="I32" i="9" s="1"/>
  <c r="D29" i="2"/>
  <c r="C29" i="2"/>
  <c r="D23" i="1" s="1"/>
  <c r="D24" i="8" s="1"/>
  <c r="H19" i="1"/>
  <c r="H20" i="8" s="1"/>
  <c r="F19" i="1"/>
  <c r="F20" i="8" s="1"/>
  <c r="D19" i="1"/>
  <c r="D20" i="8" s="1"/>
  <c r="I19" i="8"/>
  <c r="G19" i="8"/>
  <c r="E19" i="8"/>
  <c r="D25" i="9" s="1"/>
  <c r="D36" i="9" l="1"/>
  <c r="H36" i="9" s="1"/>
  <c r="I36" i="9" s="1"/>
  <c r="D15" i="1"/>
  <c r="F15" i="1"/>
  <c r="F16" i="8" s="1"/>
  <c r="H15" i="1"/>
  <c r="H16" i="8" s="1"/>
  <c r="E15" i="1"/>
  <c r="E16" i="8" s="1"/>
  <c r="D22" i="9" s="1"/>
  <c r="H22" i="9" s="1"/>
  <c r="I22" i="9" s="1"/>
  <c r="I15" i="1"/>
  <c r="I16" i="8" s="1"/>
  <c r="G15" i="1"/>
  <c r="G16" i="8" s="1"/>
  <c r="I11" i="8"/>
  <c r="K31" i="8"/>
  <c r="E31" i="8"/>
  <c r="K16" i="8"/>
  <c r="G23" i="1"/>
  <c r="G24" i="8" s="1"/>
  <c r="E23" i="1"/>
  <c r="E24" i="8" s="1"/>
  <c r="I23" i="1"/>
  <c r="I24" i="8" s="1"/>
  <c r="H23" i="1"/>
  <c r="F23" i="1"/>
  <c r="F24" i="8" s="1"/>
  <c r="D29" i="9" l="1"/>
  <c r="H29" i="9" s="1"/>
  <c r="I29" i="9" s="1"/>
  <c r="H24" i="8"/>
  <c r="D16" i="8"/>
</calcChain>
</file>

<file path=xl/sharedStrings.xml><?xml version="1.0" encoding="utf-8"?>
<sst xmlns="http://schemas.openxmlformats.org/spreadsheetml/2006/main" count="786" uniqueCount="157">
  <si>
    <t>State WQS</t>
  </si>
  <si>
    <t>Aquatic</t>
  </si>
  <si>
    <t>Acute</t>
  </si>
  <si>
    <t>Chronic</t>
  </si>
  <si>
    <t>B1, B4</t>
  </si>
  <si>
    <t>B2</t>
  </si>
  <si>
    <t>ORSANCO</t>
  </si>
  <si>
    <t>Aluminum</t>
  </si>
  <si>
    <t>Total Hardness</t>
  </si>
  <si>
    <t>Temp, deg C</t>
  </si>
  <si>
    <t>pH</t>
  </si>
  <si>
    <t>Antimony</t>
  </si>
  <si>
    <t>Human Health</t>
  </si>
  <si>
    <t>Uses</t>
  </si>
  <si>
    <t>C</t>
  </si>
  <si>
    <t>A</t>
  </si>
  <si>
    <t>Other</t>
  </si>
  <si>
    <t>Arsenic</t>
  </si>
  <si>
    <t>Barium</t>
  </si>
  <si>
    <t>Berylium</t>
  </si>
  <si>
    <t>Cadmium</t>
  </si>
  <si>
    <t>Chloride</t>
  </si>
  <si>
    <t>Hexavalent Chromium</t>
  </si>
  <si>
    <t>Trivalent Chromium</t>
  </si>
  <si>
    <t>Copper</t>
  </si>
  <si>
    <t>Cyanide</t>
  </si>
  <si>
    <t>Fluoride</t>
  </si>
  <si>
    <t>Iron</t>
  </si>
  <si>
    <t>Lead</t>
  </si>
  <si>
    <t>Manganese</t>
  </si>
  <si>
    <t>Mercury</t>
  </si>
  <si>
    <t>Nickel</t>
  </si>
  <si>
    <t>Nitrate (as Nitrate-N)</t>
  </si>
  <si>
    <t>Nitrite (as Nitrite-N)</t>
  </si>
  <si>
    <t>Chlordane</t>
  </si>
  <si>
    <t>DDT</t>
  </si>
  <si>
    <t>Aldrin</t>
  </si>
  <si>
    <t>Dieldrin</t>
  </si>
  <si>
    <t>Endrin</t>
  </si>
  <si>
    <t>Toxaphene</t>
  </si>
  <si>
    <t>PCB</t>
  </si>
  <si>
    <t>Methoxychlor</t>
  </si>
  <si>
    <t>Acrylonitrile</t>
  </si>
  <si>
    <t>Benzene</t>
  </si>
  <si>
    <t>1,2 Dichlorobenzene</t>
  </si>
  <si>
    <t>1,3 Dichlorobenzene</t>
  </si>
  <si>
    <t>1,4 Dichlorobenzene</t>
  </si>
  <si>
    <t>Dioxin (2,3,7,8 TCDD)</t>
  </si>
  <si>
    <t>2,4 Dinitrotoluene</t>
  </si>
  <si>
    <t>Hexachlorobenzene</t>
  </si>
  <si>
    <t>Carbon Tetrachloride</t>
  </si>
  <si>
    <t>Chloroform</t>
  </si>
  <si>
    <t>Trichloroethylene</t>
  </si>
  <si>
    <t>Toluene</t>
  </si>
  <si>
    <t>Vinyl Chloride (chloroethene)</t>
  </si>
  <si>
    <t>Chlorobenzene</t>
  </si>
  <si>
    <t>Ethylbenzene</t>
  </si>
  <si>
    <t>Heptachlor</t>
  </si>
  <si>
    <t>Fluoranthene</t>
  </si>
  <si>
    <t>Phenol</t>
  </si>
  <si>
    <t>2,4 Dichlorophenol</t>
  </si>
  <si>
    <t>2,4 Dimethylphenol</t>
  </si>
  <si>
    <t>2,4 Dinitrophenol</t>
  </si>
  <si>
    <t>Pentachlorophenol</t>
  </si>
  <si>
    <t>2,4,6 Trichorophenol</t>
  </si>
  <si>
    <t>Selenium</t>
  </si>
  <si>
    <t>Silver</t>
  </si>
  <si>
    <t>Thallium</t>
  </si>
  <si>
    <t>Total Residual Chlorine</t>
  </si>
  <si>
    <t>Zinc</t>
  </si>
  <si>
    <t>Human</t>
  </si>
  <si>
    <t>Health</t>
  </si>
  <si>
    <t>Sulfate</t>
  </si>
  <si>
    <t>Benzidine</t>
  </si>
  <si>
    <t>Ammonia</t>
  </si>
  <si>
    <t>Hardness</t>
  </si>
  <si>
    <t>All Criteria are in mg/l.</t>
  </si>
  <si>
    <t>NA</t>
  </si>
  <si>
    <t>Tetrachloroethylene</t>
  </si>
  <si>
    <t>alpha-BHC</t>
  </si>
  <si>
    <t>beta-BHC</t>
  </si>
  <si>
    <t>gamma-BHC</t>
  </si>
  <si>
    <t>Arsenic (III)</t>
  </si>
  <si>
    <t>Chromium (III)</t>
  </si>
  <si>
    <t>Chromium (VI)</t>
  </si>
  <si>
    <t>Metal</t>
  </si>
  <si>
    <t>N/A</t>
  </si>
  <si>
    <t>Dissolved Metals Translators</t>
  </si>
  <si>
    <t>Default Translator</t>
  </si>
  <si>
    <t>Site Specific Translator</t>
  </si>
  <si>
    <t>Enter 0 to use default translator for each respective pollutant.  Enter 1 to use a site specific translator.</t>
  </si>
  <si>
    <t>If you choose 1 for any pollutant, you must enter the corresponding site specific translator below.</t>
  </si>
  <si>
    <t>Phenolics</t>
  </si>
  <si>
    <t>Acenaphthene</t>
  </si>
  <si>
    <t>Anthracene</t>
  </si>
  <si>
    <t>Benzo(a) Anthracene</t>
  </si>
  <si>
    <t>Benzo(a) Pyrene</t>
  </si>
  <si>
    <t>Benzo(b) Fluoranthene</t>
  </si>
  <si>
    <t>Benzo(k) Fluoranthene</t>
  </si>
  <si>
    <t>Chrysene</t>
  </si>
  <si>
    <t>Dibenzo(a,h) Anthracene</t>
  </si>
  <si>
    <t>Fluorene</t>
  </si>
  <si>
    <t>Pyrene</t>
  </si>
  <si>
    <t>Ideno(1,2,3-cd) Pyrene</t>
  </si>
  <si>
    <t>Bis(2-ethylhexyl) Phthalate</t>
  </si>
  <si>
    <t>Default translators are assumed to be equal to the conversion factors found in 47 CSR 2, Appendix E, Table 2.</t>
  </si>
  <si>
    <t>Perchlorate</t>
  </si>
  <si>
    <t>WET - Ceriodaphnia Dubia</t>
  </si>
  <si>
    <t>WET - Pimephales Promelas</t>
  </si>
  <si>
    <t xml:space="preserve">2 Chloronaphthalene </t>
  </si>
  <si>
    <t>Bromoform</t>
  </si>
  <si>
    <t>Methyl Bromide</t>
  </si>
  <si>
    <t>2-Chlorophenol</t>
  </si>
  <si>
    <t>1,2 Dichloroethane</t>
  </si>
  <si>
    <t>1,1,1 Trichloroethane</t>
  </si>
  <si>
    <t>1,1,2,2 Tetrachloroethane</t>
  </si>
  <si>
    <t>1,1 Dichloroethylene</t>
  </si>
  <si>
    <t>Phthalate Esters</t>
  </si>
  <si>
    <t>2 Methyl 4,6 Dinitrophenol</t>
  </si>
  <si>
    <t>Methylene Chloride</t>
  </si>
  <si>
    <t>Dichlorobromomethane</t>
  </si>
  <si>
    <t>Butylbenzyl Phthalate</t>
  </si>
  <si>
    <t>Diethyl Phthalate</t>
  </si>
  <si>
    <t>Dimethyl Phthalate</t>
  </si>
  <si>
    <t>Di-n-Butyl Phthalate</t>
  </si>
  <si>
    <t>Water Quality Standards - WV Standards July 2008 and ORSANCO Standards 2011</t>
  </si>
  <si>
    <t>Total Dissolved Solids</t>
  </si>
  <si>
    <t>All Criteria below is in mg/l</t>
  </si>
  <si>
    <t>Company Name:</t>
  </si>
  <si>
    <t>NPDES No:</t>
  </si>
  <si>
    <t>Facility Name:</t>
  </si>
  <si>
    <t>Outlet No.:</t>
  </si>
  <si>
    <t>Stream Name:</t>
  </si>
  <si>
    <t>Trout Stream ?</t>
  </si>
  <si>
    <t xml:space="preserve">                 Discharges Within 5 Miles of a Drinking Water Intake ?</t>
  </si>
  <si>
    <t>Applicable</t>
  </si>
  <si>
    <t>All Concentrations Must Be Reported in mg/l                                       Unless Another Unit Specifically Applies</t>
  </si>
  <si>
    <t>Does the analysis exceed the State's applicable Water Quality Standard?</t>
  </si>
  <si>
    <t>Water Quality</t>
  </si>
  <si>
    <t>Standards</t>
  </si>
  <si>
    <t>Analysis Reported</t>
  </si>
  <si>
    <t>Analytical Method Used</t>
  </si>
  <si>
    <t>Reported MDL Used</t>
  </si>
  <si>
    <t>Was a Proper   MDL Used?</t>
  </si>
  <si>
    <t>(mg/l or value)</t>
  </si>
  <si>
    <t>6 - 9 s.u.</t>
  </si>
  <si>
    <t xml:space="preserve"> Aluminum (Dissolved)</t>
  </si>
  <si>
    <t>Total Chromium*</t>
  </si>
  <si>
    <t>Total Mercury**</t>
  </si>
  <si>
    <t>Enter the Water Analysis with the Approved EPA Method and Lab MDL used for each analysis performed.</t>
  </si>
  <si>
    <t>Enter a number for the analysis. Do not use symbols (&lt; &gt;) or notations (ND)</t>
  </si>
  <si>
    <t>*  Total Chromium must comply with the State's dissolved criteria for Hexavalent &amp; Trivalent Chromium</t>
  </si>
  <si>
    <t>Temperature ©</t>
  </si>
  <si>
    <t>** Total Mercury must be analyzed using an EPA approved method which is capable of detecting the State's criteria for Methyl Mercury (i.e., EPA 1631 E)</t>
  </si>
  <si>
    <t>Parameters of Concern Most Commonly Reported in NPDES (e.g., Tables 2-IV A,B,C)</t>
  </si>
  <si>
    <r>
      <t xml:space="preserve">                                            PARAMETER OF CONCERN ASSESSMENT                                 </t>
    </r>
    <r>
      <rPr>
        <b/>
        <sz val="8"/>
        <rFont val="Arial"/>
        <family val="2"/>
      </rPr>
      <t>Updated 12/3/2013</t>
    </r>
  </si>
  <si>
    <t>Beryllium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</si>
</sst>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"/>
      <color theme="0"/>
      <name val="Arial"/>
      <family val="2"/>
    </font>
    <font>
      <sz val="8"/>
      <color rgb="FF000000"/>
      <name val="Tahoma"/>
      <family val="2"/>
    </font>
    <font>
      <b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Alignme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Fill="1"/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Fill="1" applyProtection="1"/>
    <xf numFmtId="0" fontId="1" fillId="0" borderId="4" xfId="0" applyFont="1" applyBorder="1" applyAlignment="1">
      <alignment horizontal="center"/>
    </xf>
    <xf numFmtId="0" fontId="1" fillId="0" borderId="0" xfId="1" applyProtection="1"/>
    <xf numFmtId="0" fontId="1" fillId="0" borderId="0" xfId="1"/>
    <xf numFmtId="0" fontId="9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19" xfId="1" applyBorder="1" applyAlignment="1" applyProtection="1">
      <alignment horizontal="center"/>
    </xf>
    <xf numFmtId="0" fontId="3" fillId="0" borderId="20" xfId="1" applyFont="1" applyBorder="1" applyProtection="1"/>
    <xf numFmtId="0" fontId="1" fillId="0" borderId="22" xfId="1" applyBorder="1" applyAlignment="1" applyProtection="1">
      <alignment horizontal="center"/>
    </xf>
    <xf numFmtId="0" fontId="3" fillId="0" borderId="23" xfId="1" applyFont="1" applyBorder="1" applyProtection="1"/>
    <xf numFmtId="0" fontId="1" fillId="0" borderId="23" xfId="1" applyBorder="1" applyAlignment="1" applyProtection="1">
      <alignment horizontal="center"/>
    </xf>
    <xf numFmtId="0" fontId="1" fillId="0" borderId="7" xfId="1" applyBorder="1" applyProtection="1"/>
    <xf numFmtId="0" fontId="1" fillId="0" borderId="8" xfId="1" applyBorder="1" applyProtection="1"/>
    <xf numFmtId="0" fontId="1" fillId="0" borderId="28" xfId="1" applyBorder="1" applyAlignment="1" applyProtection="1">
      <alignment horizontal="center"/>
    </xf>
    <xf numFmtId="0" fontId="1" fillId="0" borderId="29" xfId="1" applyBorder="1" applyAlignment="1" applyProtection="1">
      <alignment horizontal="center"/>
    </xf>
    <xf numFmtId="0" fontId="1" fillId="0" borderId="31" xfId="1" applyBorder="1" applyAlignment="1" applyProtection="1">
      <alignment horizontal="center"/>
    </xf>
    <xf numFmtId="0" fontId="1" fillId="3" borderId="19" xfId="1" applyFill="1" applyBorder="1" applyAlignment="1" applyProtection="1">
      <alignment horizontal="center"/>
    </xf>
    <xf numFmtId="0" fontId="1" fillId="3" borderId="13" xfId="1" applyFill="1" applyBorder="1" applyAlignment="1" applyProtection="1">
      <alignment horizontal="center"/>
    </xf>
    <xf numFmtId="0" fontId="1" fillId="3" borderId="17" xfId="1" applyFill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3" borderId="22" xfId="1" applyFill="1" applyBorder="1" applyAlignment="1" applyProtection="1">
      <alignment horizontal="center"/>
    </xf>
    <xf numFmtId="0" fontId="1" fillId="3" borderId="6" xfId="1" applyFill="1" applyBorder="1" applyAlignment="1" applyProtection="1">
      <alignment horizontal="center"/>
    </xf>
    <xf numFmtId="0" fontId="1" fillId="3" borderId="0" xfId="1" applyFill="1" applyBorder="1" applyAlignment="1" applyProtection="1">
      <alignment horizontal="center"/>
    </xf>
    <xf numFmtId="0" fontId="1" fillId="3" borderId="23" xfId="1" applyFill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2" fontId="1" fillId="0" borderId="22" xfId="1" applyNumberFormat="1" applyBorder="1" applyAlignment="1" applyProtection="1">
      <alignment horizontal="center"/>
    </xf>
    <xf numFmtId="2" fontId="1" fillId="0" borderId="0" xfId="1" applyNumberFormat="1" applyBorder="1" applyAlignment="1" applyProtection="1">
      <alignment horizontal="center"/>
    </xf>
    <xf numFmtId="0" fontId="1" fillId="3" borderId="7" xfId="1" applyFill="1" applyBorder="1" applyAlignment="1" applyProtection="1">
      <alignment horizontal="center"/>
    </xf>
    <xf numFmtId="0" fontId="1" fillId="3" borderId="16" xfId="1" applyFill="1" applyBorder="1" applyAlignment="1" applyProtection="1">
      <alignment horizontal="center"/>
    </xf>
    <xf numFmtId="0" fontId="1" fillId="3" borderId="18" xfId="1" applyFill="1" applyBorder="1" applyAlignment="1" applyProtection="1">
      <alignment horizontal="center"/>
    </xf>
    <xf numFmtId="0" fontId="1" fillId="3" borderId="8" xfId="1" applyFill="1" applyBorder="1" applyAlignment="1" applyProtection="1">
      <alignment horizontal="center"/>
    </xf>
    <xf numFmtId="0" fontId="1" fillId="0" borderId="0" xfId="1" applyAlignment="1">
      <alignment horizontal="center"/>
    </xf>
    <xf numFmtId="0" fontId="1" fillId="4" borderId="0" xfId="1" applyFill="1" applyAlignment="1"/>
    <xf numFmtId="0" fontId="1" fillId="4" borderId="0" xfId="1" applyFill="1"/>
    <xf numFmtId="0" fontId="5" fillId="4" borderId="0" xfId="1" applyFont="1" applyFill="1" applyAlignment="1" applyProtection="1">
      <alignment horizontal="center" vertical="center"/>
    </xf>
    <xf numFmtId="0" fontId="1" fillId="4" borderId="0" xfId="1" applyFill="1" applyAlignment="1" applyProtection="1"/>
    <xf numFmtId="0" fontId="5" fillId="4" borderId="0" xfId="1" applyFont="1" applyFill="1" applyAlignment="1"/>
    <xf numFmtId="0" fontId="1" fillId="4" borderId="0" xfId="1" applyFill="1" applyProtection="1"/>
    <xf numFmtId="0" fontId="5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right"/>
    </xf>
    <xf numFmtId="0" fontId="3" fillId="4" borderId="0" xfId="1" applyFont="1" applyFill="1" applyBorder="1" applyAlignment="1" applyProtection="1">
      <alignment horizontal="center"/>
      <protection locked="0"/>
    </xf>
    <xf numFmtId="0" fontId="1" fillId="4" borderId="0" xfId="1" applyFill="1" applyBorder="1" applyAlignment="1">
      <alignment horizontal="center"/>
    </xf>
    <xf numFmtId="0" fontId="5" fillId="4" borderId="0" xfId="1" applyFont="1" applyFill="1" applyBorder="1" applyAlignment="1" applyProtection="1">
      <alignment horizontal="right"/>
    </xf>
    <xf numFmtId="49" fontId="3" fillId="4" borderId="0" xfId="1" applyNumberFormat="1" applyFont="1" applyFill="1" applyBorder="1" applyAlignment="1" applyProtection="1">
      <alignment horizontal="center"/>
      <protection locked="0"/>
    </xf>
    <xf numFmtId="0" fontId="1" fillId="4" borderId="0" xfId="1" applyFill="1" applyBorder="1"/>
    <xf numFmtId="0" fontId="1" fillId="0" borderId="0" xfId="1" applyAlignment="1" applyProtection="1">
      <alignment horizontal="left" vertical="center"/>
      <protection locked="0"/>
    </xf>
    <xf numFmtId="0" fontId="5" fillId="4" borderId="0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 applyProtection="1">
      <alignment horizontal="center"/>
      <protection locked="0"/>
    </xf>
    <xf numFmtId="0" fontId="3" fillId="4" borderId="0" xfId="1" applyFont="1" applyFill="1" applyAlignment="1" applyProtection="1">
      <alignment horizontal="left"/>
    </xf>
    <xf numFmtId="0" fontId="3" fillId="4" borderId="0" xfId="1" applyFont="1" applyFill="1" applyProtection="1"/>
    <xf numFmtId="0" fontId="6" fillId="4" borderId="0" xfId="1" applyFont="1" applyFill="1" applyProtection="1"/>
    <xf numFmtId="0" fontId="3" fillId="4" borderId="0" xfId="1" applyFont="1" applyFill="1" applyBorder="1" applyProtection="1"/>
    <xf numFmtId="0" fontId="1" fillId="4" borderId="0" xfId="1" applyFont="1" applyFill="1" applyProtection="1"/>
    <xf numFmtId="0" fontId="1" fillId="4" borderId="0" xfId="1" applyFill="1" applyAlignment="1" applyProtection="1">
      <alignment horizontal="center"/>
    </xf>
    <xf numFmtId="0" fontId="1" fillId="4" borderId="0" xfId="1" applyFont="1" applyFill="1" applyBorder="1" applyAlignment="1">
      <alignment horizontal="center"/>
    </xf>
    <xf numFmtId="0" fontId="1" fillId="0" borderId="41" xfId="1" applyFill="1" applyBorder="1" applyAlignment="1" applyProtection="1">
      <alignment horizontal="center"/>
      <protection locked="0"/>
    </xf>
    <xf numFmtId="166" fontId="1" fillId="0" borderId="38" xfId="1" applyNumberFormat="1" applyFont="1" applyFill="1" applyBorder="1" applyAlignment="1" applyProtection="1">
      <alignment horizontal="center"/>
      <protection locked="0"/>
    </xf>
    <xf numFmtId="0" fontId="1" fillId="0" borderId="41" xfId="1" applyFont="1" applyFill="1" applyBorder="1" applyAlignment="1" applyProtection="1">
      <alignment horizontal="center"/>
      <protection locked="0"/>
    </xf>
    <xf numFmtId="0" fontId="1" fillId="0" borderId="44" xfId="1" applyFill="1" applyBorder="1" applyAlignment="1" applyProtection="1">
      <alignment horizontal="center"/>
      <protection locked="0"/>
    </xf>
    <xf numFmtId="166" fontId="1" fillId="0" borderId="41" xfId="1" applyNumberFormat="1" applyFont="1" applyFill="1" applyBorder="1" applyAlignment="1" applyProtection="1">
      <alignment horizontal="center"/>
      <protection locked="0"/>
    </xf>
    <xf numFmtId="0" fontId="1" fillId="0" borderId="44" xfId="1" applyFont="1" applyFill="1" applyBorder="1" applyAlignment="1" applyProtection="1">
      <alignment horizontal="center"/>
      <protection locked="0"/>
    </xf>
    <xf numFmtId="166" fontId="1" fillId="0" borderId="44" xfId="1" applyNumberFormat="1" applyFont="1" applyFill="1" applyBorder="1" applyAlignment="1" applyProtection="1">
      <alignment horizontal="center"/>
      <protection locked="0"/>
    </xf>
    <xf numFmtId="166" fontId="1" fillId="0" borderId="44" xfId="1" applyNumberFormat="1" applyFill="1" applyBorder="1" applyAlignment="1" applyProtection="1">
      <alignment horizontal="center"/>
      <protection locked="0"/>
    </xf>
    <xf numFmtId="0" fontId="1" fillId="0" borderId="39" xfId="1" applyFill="1" applyBorder="1" applyAlignment="1" applyProtection="1">
      <alignment horizontal="center"/>
      <protection locked="0"/>
    </xf>
    <xf numFmtId="166" fontId="1" fillId="0" borderId="39" xfId="1" applyNumberFormat="1" applyFont="1" applyFill="1" applyBorder="1" applyAlignment="1" applyProtection="1">
      <alignment horizontal="center"/>
      <protection locked="0"/>
    </xf>
    <xf numFmtId="0" fontId="1" fillId="4" borderId="0" xfId="1" applyFill="1" applyBorder="1" applyProtection="1"/>
    <xf numFmtId="0" fontId="1" fillId="4" borderId="0" xfId="1" applyFont="1" applyFill="1"/>
    <xf numFmtId="4" fontId="1" fillId="0" borderId="22" xfId="1" applyNumberFormat="1" applyBorder="1" applyAlignment="1" applyProtection="1">
      <alignment horizontal="center"/>
    </xf>
    <xf numFmtId="4" fontId="1" fillId="0" borderId="6" xfId="1" applyNumberFormat="1" applyBorder="1" applyAlignment="1" applyProtection="1">
      <alignment horizontal="center"/>
    </xf>
    <xf numFmtId="0" fontId="1" fillId="4" borderId="6" xfId="1" applyFill="1" applyBorder="1" applyAlignment="1" applyProtection="1">
      <alignment horizontal="center"/>
    </xf>
    <xf numFmtId="0" fontId="1" fillId="4" borderId="14" xfId="1" applyFill="1" applyBorder="1" applyAlignment="1" applyProtection="1">
      <alignment horizontal="center"/>
    </xf>
    <xf numFmtId="0" fontId="1" fillId="3" borderId="14" xfId="1" applyFill="1" applyBorder="1" applyAlignment="1" applyProtection="1">
      <alignment horizontal="center"/>
    </xf>
    <xf numFmtId="0" fontId="1" fillId="0" borderId="14" xfId="1" applyBorder="1" applyAlignment="1" applyProtection="1">
      <alignment horizontal="center"/>
    </xf>
    <xf numFmtId="0" fontId="1" fillId="3" borderId="15" xfId="1" applyFill="1" applyBorder="1" applyAlignment="1" applyProtection="1">
      <alignment horizontal="center"/>
    </xf>
    <xf numFmtId="0" fontId="1" fillId="4" borderId="23" xfId="1" applyFill="1" applyBorder="1" applyAlignment="1" applyProtection="1">
      <alignment horizontal="center"/>
    </xf>
    <xf numFmtId="4" fontId="1" fillId="0" borderId="14" xfId="1" applyNumberFormat="1" applyBorder="1" applyAlignment="1" applyProtection="1">
      <alignment horizontal="center"/>
    </xf>
    <xf numFmtId="0" fontId="1" fillId="4" borderId="0" xfId="1" applyFill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3" borderId="9" xfId="1" applyFill="1" applyBorder="1" applyAlignment="1" applyProtection="1">
      <alignment horizontal="center"/>
    </xf>
    <xf numFmtId="2" fontId="1" fillId="0" borderId="9" xfId="1" applyNumberFormat="1" applyBorder="1" applyAlignment="1" applyProtection="1">
      <alignment horizontal="center"/>
    </xf>
    <xf numFmtId="0" fontId="1" fillId="3" borderId="4" xfId="1" applyFill="1" applyBorder="1" applyAlignment="1" applyProtection="1">
      <alignment horizontal="center"/>
    </xf>
    <xf numFmtId="0" fontId="1" fillId="4" borderId="9" xfId="1" applyFill="1" applyBorder="1" applyAlignment="1" applyProtection="1">
      <alignment horizontal="center"/>
    </xf>
    <xf numFmtId="0" fontId="1" fillId="0" borderId="45" xfId="1" applyBorder="1" applyAlignment="1" applyProtection="1">
      <alignment horizontal="center"/>
    </xf>
    <xf numFmtId="0" fontId="1" fillId="0" borderId="39" xfId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12" fillId="5" borderId="40" xfId="1" applyFont="1" applyFill="1" applyBorder="1" applyAlignment="1" applyProtection="1">
      <alignment horizontal="center"/>
    </xf>
    <xf numFmtId="0" fontId="12" fillId="5" borderId="25" xfId="1" applyFont="1" applyFill="1" applyBorder="1" applyAlignment="1" applyProtection="1">
      <alignment horizontal="center"/>
    </xf>
    <xf numFmtId="0" fontId="1" fillId="5" borderId="27" xfId="1" applyFont="1" applyFill="1" applyBorder="1" applyAlignment="1" applyProtection="1">
      <alignment horizontal="center"/>
    </xf>
    <xf numFmtId="0" fontId="1" fillId="5" borderId="25" xfId="1" applyFill="1" applyBorder="1" applyAlignment="1" applyProtection="1">
      <alignment horizontal="center"/>
    </xf>
    <xf numFmtId="0" fontId="1" fillId="5" borderId="8" xfId="1" applyFill="1" applyBorder="1" applyAlignment="1" applyProtection="1">
      <alignment horizontal="center"/>
    </xf>
    <xf numFmtId="0" fontId="1" fillId="5" borderId="41" xfId="1" applyFont="1" applyFill="1" applyBorder="1" applyAlignment="1" applyProtection="1">
      <alignment horizontal="center"/>
    </xf>
    <xf numFmtId="0" fontId="1" fillId="5" borderId="38" xfId="1" applyFont="1" applyFill="1" applyBorder="1" applyAlignment="1" applyProtection="1">
      <alignment horizontal="center"/>
    </xf>
    <xf numFmtId="0" fontId="1" fillId="5" borderId="41" xfId="1" applyFill="1" applyBorder="1" applyAlignment="1" applyProtection="1">
      <alignment horizontal="center"/>
    </xf>
    <xf numFmtId="0" fontId="1" fillId="5" borderId="39" xfId="1" applyFill="1" applyBorder="1" applyAlignment="1" applyProtection="1">
      <alignment horizontal="center"/>
    </xf>
    <xf numFmtId="0" fontId="1" fillId="5" borderId="4" xfId="1" applyFill="1" applyBorder="1" applyAlignment="1" applyProtection="1">
      <alignment horizontal="center"/>
    </xf>
    <xf numFmtId="0" fontId="6" fillId="6" borderId="19" xfId="1" applyFont="1" applyFill="1" applyBorder="1" applyAlignment="1" applyProtection="1">
      <alignment horizontal="center"/>
    </xf>
    <xf numFmtId="0" fontId="6" fillId="6" borderId="22" xfId="1" applyFont="1" applyFill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7" xfId="1" applyFill="1" applyBorder="1" applyAlignment="1" applyProtection="1">
      <alignment horizontal="center"/>
    </xf>
    <xf numFmtId="0" fontId="1" fillId="3" borderId="18" xfId="1" applyFill="1" applyBorder="1" applyAlignment="1" applyProtection="1">
      <alignment horizontal="center"/>
    </xf>
    <xf numFmtId="0" fontId="1" fillId="0" borderId="22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3" borderId="22" xfId="1" applyFill="1" applyBorder="1" applyAlignment="1" applyProtection="1">
      <alignment horizontal="center"/>
    </xf>
    <xf numFmtId="0" fontId="1" fillId="3" borderId="0" xfId="1" applyFill="1" applyBorder="1" applyAlignment="1" applyProtection="1">
      <alignment horizontal="center"/>
    </xf>
    <xf numFmtId="0" fontId="1" fillId="3" borderId="19" xfId="1" applyFill="1" applyBorder="1" applyAlignment="1" applyProtection="1">
      <alignment horizontal="center"/>
    </xf>
    <xf numFmtId="0" fontId="1" fillId="3" borderId="17" xfId="1" applyFill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1" fillId="0" borderId="0" xfId="1" applyAlignment="1" applyProtection="1"/>
    <xf numFmtId="0" fontId="1" fillId="0" borderId="0" xfId="1" applyAlignment="1" applyProtection="1">
      <alignment horizontal="center"/>
    </xf>
    <xf numFmtId="0" fontId="1" fillId="0" borderId="0" xfId="1" applyAlignment="1" applyProtection="1">
      <alignment horizontal="left"/>
    </xf>
    <xf numFmtId="0" fontId="1" fillId="0" borderId="0" xfId="1" applyFont="1" applyAlignment="1" applyProtection="1">
      <alignment horizontal="center"/>
    </xf>
    <xf numFmtId="0" fontId="1" fillId="0" borderId="19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9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22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/>
    </xf>
    <xf numFmtId="0" fontId="1" fillId="0" borderId="3" xfId="1" applyBorder="1" applyAlignment="1" applyProtection="1">
      <alignment horizontal="center" vertical="center"/>
    </xf>
    <xf numFmtId="0" fontId="1" fillId="0" borderId="41" xfId="1" applyBorder="1" applyAlignment="1" applyProtection="1">
      <alignment horizontal="center" vertical="center"/>
    </xf>
    <xf numFmtId="0" fontId="1" fillId="0" borderId="24" xfId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0" fontId="1" fillId="0" borderId="25" xfId="1" applyBorder="1" applyAlignment="1" applyProtection="1">
      <alignment horizontal="center"/>
    </xf>
    <xf numFmtId="0" fontId="1" fillId="0" borderId="26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1" fillId="5" borderId="42" xfId="1" applyFill="1" applyBorder="1" applyAlignment="1" applyProtection="1">
      <alignment horizontal="center" vertical="center"/>
    </xf>
    <xf numFmtId="0" fontId="1" fillId="5" borderId="43" xfId="1" applyFill="1" applyBorder="1" applyAlignment="1" applyProtection="1">
      <alignment horizontal="center" vertical="center"/>
    </xf>
    <xf numFmtId="0" fontId="1" fillId="5" borderId="28" xfId="1" applyFill="1" applyBorder="1" applyAlignment="1" applyProtection="1">
      <alignment horizontal="center" vertical="center"/>
    </xf>
    <xf numFmtId="0" fontId="1" fillId="5" borderId="30" xfId="1" applyFill="1" applyBorder="1" applyAlignment="1" applyProtection="1">
      <alignment horizontal="center" vertical="center"/>
    </xf>
    <xf numFmtId="0" fontId="1" fillId="5" borderId="42" xfId="1" applyFont="1" applyFill="1" applyBorder="1" applyAlignment="1" applyProtection="1">
      <alignment horizontal="center" vertical="center"/>
    </xf>
    <xf numFmtId="0" fontId="1" fillId="5" borderId="42" xfId="1" applyFill="1" applyBorder="1" applyAlignment="1" applyProtection="1">
      <alignment horizontal="center" vertical="top"/>
    </xf>
    <xf numFmtId="0" fontId="1" fillId="5" borderId="43" xfId="1" applyFill="1" applyBorder="1" applyAlignment="1" applyProtection="1">
      <alignment horizontal="center" vertical="top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" fillId="6" borderId="39" xfId="1" applyFill="1" applyBorder="1" applyAlignment="1" applyProtection="1">
      <alignment horizontal="center" vertical="center" wrapText="1"/>
    </xf>
    <xf numFmtId="0" fontId="6" fillId="6" borderId="3" xfId="1" applyFont="1" applyFill="1" applyBorder="1" applyAlignment="1" applyProtection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6" fillId="6" borderId="38" xfId="1" applyFont="1" applyFill="1" applyBorder="1" applyAlignment="1" applyProtection="1">
      <alignment horizontal="center" wrapText="1"/>
    </xf>
    <xf numFmtId="0" fontId="1" fillId="6" borderId="39" xfId="1" applyFill="1" applyBorder="1" applyAlignment="1" applyProtection="1">
      <alignment horizontal="center" wrapText="1"/>
    </xf>
    <xf numFmtId="0" fontId="1" fillId="5" borderId="32" xfId="1" applyFont="1" applyFill="1" applyBorder="1" applyAlignment="1" applyProtection="1">
      <alignment horizontal="center" vertical="center"/>
    </xf>
    <xf numFmtId="0" fontId="1" fillId="5" borderId="35" xfId="1" applyFill="1" applyBorder="1" applyAlignment="1" applyProtection="1">
      <alignment horizontal="center" vertical="center"/>
    </xf>
    <xf numFmtId="0" fontId="1" fillId="5" borderId="42" xfId="1" applyFont="1" applyFill="1" applyBorder="1" applyAlignment="1" applyProtection="1">
      <alignment horizontal="center" vertical="center" wrapText="1"/>
    </xf>
    <xf numFmtId="0" fontId="1" fillId="5" borderId="43" xfId="1" applyFill="1" applyBorder="1" applyAlignment="1" applyProtection="1">
      <alignment horizontal="center" vertical="center" wrapText="1"/>
    </xf>
    <xf numFmtId="0" fontId="1" fillId="5" borderId="26" xfId="1" applyFont="1" applyFill="1" applyBorder="1" applyAlignment="1" applyProtection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4" fillId="4" borderId="0" xfId="1" applyFont="1" applyFill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3" fillId="4" borderId="0" xfId="1" applyFont="1" applyFill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6" fillId="6" borderId="19" xfId="1" applyFont="1" applyFill="1" applyBorder="1" applyAlignment="1" applyProtection="1">
      <alignment horizontal="center" vertical="center" wrapText="1"/>
    </xf>
    <xf numFmtId="0" fontId="1" fillId="6" borderId="20" xfId="1" applyFill="1" applyBorder="1" applyAlignment="1" applyProtection="1">
      <alignment wrapText="1"/>
    </xf>
    <xf numFmtId="0" fontId="1" fillId="6" borderId="22" xfId="1" applyFill="1" applyBorder="1" applyAlignment="1" applyProtection="1">
      <alignment wrapText="1"/>
    </xf>
    <xf numFmtId="0" fontId="1" fillId="6" borderId="23" xfId="1" applyFill="1" applyBorder="1" applyAlignment="1" applyProtection="1">
      <alignment wrapText="1"/>
    </xf>
    <xf numFmtId="0" fontId="6" fillId="6" borderId="32" xfId="1" applyFont="1" applyFill="1" applyBorder="1" applyAlignment="1" applyProtection="1">
      <alignment horizontal="center" vertical="center" wrapText="1"/>
    </xf>
    <xf numFmtId="0" fontId="6" fillId="6" borderId="33" xfId="1" applyFont="1" applyFill="1" applyBorder="1" applyAlignment="1" applyProtection="1">
      <alignment horizontal="center" vertical="center" wrapText="1"/>
    </xf>
    <xf numFmtId="0" fontId="1" fillId="6" borderId="34" xfId="1" applyFill="1" applyBorder="1" applyAlignment="1" applyProtection="1">
      <alignment horizontal="center" vertical="center" wrapText="1"/>
    </xf>
    <xf numFmtId="0" fontId="1" fillId="6" borderId="35" xfId="1" applyFill="1" applyBorder="1" applyAlignment="1" applyProtection="1">
      <alignment horizontal="center" vertical="center" wrapText="1"/>
    </xf>
    <xf numFmtId="0" fontId="1" fillId="6" borderId="36" xfId="1" applyFill="1" applyBorder="1" applyAlignment="1" applyProtection="1">
      <alignment horizontal="center" vertical="center" wrapText="1"/>
    </xf>
    <xf numFmtId="0" fontId="1" fillId="6" borderId="21" xfId="1" applyFill="1" applyBorder="1" applyAlignment="1" applyProtection="1">
      <alignment horizontal="center" vertical="center" wrapText="1"/>
    </xf>
    <xf numFmtId="0" fontId="1" fillId="6" borderId="5" xfId="1" applyFill="1" applyBorder="1" applyAlignment="1" applyProtection="1">
      <alignment horizontal="center" vertical="center" wrapText="1"/>
    </xf>
    <xf numFmtId="0" fontId="1" fillId="6" borderId="37" xfId="1" applyFill="1" applyBorder="1" applyAlignment="1" applyProtection="1">
      <alignment horizontal="center" vertical="center" wrapText="1"/>
    </xf>
    <xf numFmtId="0" fontId="6" fillId="6" borderId="20" xfId="1" applyFont="1" applyFill="1" applyBorder="1" applyAlignment="1" applyProtection="1">
      <alignment horizontal="center" vertical="center" wrapText="1"/>
    </xf>
    <xf numFmtId="0" fontId="1" fillId="6" borderId="23" xfId="1" applyFill="1" applyBorder="1" applyAlignment="1" applyProtection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colors>
    <mruColors>
      <color rgb="FF0C00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C$6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$I$6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</xdr:row>
          <xdr:rowOff>47625</xdr:rowOff>
        </xdr:from>
        <xdr:to>
          <xdr:col>3</xdr:col>
          <xdr:colOff>419100</xdr:colOff>
          <xdr:row>6</xdr:row>
          <xdr:rowOff>9525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38100</xdr:rowOff>
        </xdr:from>
        <xdr:to>
          <xdr:col>8</xdr:col>
          <xdr:colOff>1104900</xdr:colOff>
          <xdr:row>6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66675</xdr:rowOff>
        </xdr:from>
        <xdr:to>
          <xdr:col>3</xdr:col>
          <xdr:colOff>28575</xdr:colOff>
          <xdr:row>6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5</xdr:row>
          <xdr:rowOff>57150</xdr:rowOff>
        </xdr:from>
        <xdr:to>
          <xdr:col>3</xdr:col>
          <xdr:colOff>400050</xdr:colOff>
          <xdr:row>5</xdr:row>
          <xdr:rowOff>276225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57150</xdr:rowOff>
        </xdr:from>
        <xdr:to>
          <xdr:col>8</xdr:col>
          <xdr:colOff>609600</xdr:colOff>
          <xdr:row>5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704850</xdr:colOff>
          <xdr:row>5</xdr:row>
          <xdr:rowOff>57150</xdr:rowOff>
        </xdr:from>
        <xdr:to>
          <xdr:col>8</xdr:col>
          <xdr:colOff>1085850</xdr:colOff>
          <xdr:row>5</xdr:row>
          <xdr:rowOff>276225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9665\AppData\Local\Microsoft\Windows\Temporary%20Internet%20Files\Content.Outlook\1QQUJR9A\Current%20Workbooks\Numeric%20Criteria%20POC%20Assess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s"/>
      <sheetName val="Translator"/>
      <sheetName val="Antideg"/>
      <sheetName val="RP"/>
      <sheetName val="Standards Short List"/>
      <sheetName val="POC Assessment"/>
      <sheetName val="WQBEL"/>
      <sheetName val="Summary"/>
      <sheetName val="Permit Limits Summary"/>
      <sheetName val="Sludge-Flow Summary"/>
      <sheetName val="POTW Local Limits"/>
      <sheetName val="IU Limits Summary"/>
      <sheetName val="Sheet1"/>
    </sheetNames>
    <sheetDataSet>
      <sheetData sheetId="0">
        <row r="2">
          <cell r="B2">
            <v>27</v>
          </cell>
        </row>
      </sheetData>
      <sheetData sheetId="1"/>
      <sheetData sheetId="2"/>
      <sheetData sheetId="3"/>
      <sheetData sheetId="4">
        <row r="12">
          <cell r="B12" t="str">
            <v>Antimony</v>
          </cell>
        </row>
        <row r="19">
          <cell r="B19" t="str">
            <v>Trivalent Chromium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51">
          <cell r="I51" t="str">
            <v>mg/l</v>
          </cell>
        </row>
        <row r="52">
          <cell r="I52" t="str">
            <v>lbs/day</v>
          </cell>
        </row>
        <row r="56">
          <cell r="H56" t="str">
            <v>Uniform</v>
          </cell>
        </row>
        <row r="57">
          <cell r="H57" t="str">
            <v>Flow Weighted</v>
          </cell>
        </row>
        <row r="58">
          <cell r="H58" t="str">
            <v>50% SIUs</v>
          </cell>
        </row>
        <row r="59">
          <cell r="H59" t="str">
            <v>80% SIUs</v>
          </cell>
        </row>
        <row r="60">
          <cell r="H60" t="str">
            <v>Custom SIU/IU Split</v>
          </cell>
        </row>
        <row r="61">
          <cell r="H61" t="str">
            <v>Custom ( input  %)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"/>
  <sheetViews>
    <sheetView zoomScale="75" workbookViewId="0">
      <selection activeCell="E18" sqref="E18"/>
    </sheetView>
  </sheetViews>
  <sheetFormatPr defaultRowHeight="12.75" x14ac:dyDescent="0.2"/>
  <cols>
    <col min="2" max="2" width="12.85546875" bestFit="1" customWidth="1"/>
    <col min="3" max="4" width="12.7109375" customWidth="1"/>
    <col min="5" max="5" width="25.28515625" bestFit="1" customWidth="1"/>
  </cols>
  <sheetData>
    <row r="1" spans="1:3" ht="20.25" x14ac:dyDescent="0.3">
      <c r="A1" s="11" t="s">
        <v>87</v>
      </c>
    </row>
    <row r="3" spans="1:3" x14ac:dyDescent="0.2">
      <c r="B3" t="s">
        <v>105</v>
      </c>
    </row>
    <row r="4" spans="1:3" x14ac:dyDescent="0.2">
      <c r="B4" t="s">
        <v>90</v>
      </c>
    </row>
    <row r="5" spans="1:3" x14ac:dyDescent="0.2">
      <c r="B5" t="s">
        <v>91</v>
      </c>
    </row>
    <row r="9" spans="1:3" x14ac:dyDescent="0.2">
      <c r="B9" s="1" t="s">
        <v>7</v>
      </c>
      <c r="C9" s="13">
        <v>0</v>
      </c>
    </row>
    <row r="10" spans="1:3" x14ac:dyDescent="0.2">
      <c r="B10" s="1" t="s">
        <v>82</v>
      </c>
      <c r="C10" s="13">
        <v>0</v>
      </c>
    </row>
    <row r="11" spans="1:3" x14ac:dyDescent="0.2">
      <c r="B11" s="1" t="s">
        <v>20</v>
      </c>
      <c r="C11" s="13">
        <v>0</v>
      </c>
    </row>
    <row r="12" spans="1:3" x14ac:dyDescent="0.2">
      <c r="B12" s="1" t="s">
        <v>83</v>
      </c>
      <c r="C12" s="13">
        <v>0</v>
      </c>
    </row>
    <row r="13" spans="1:3" x14ac:dyDescent="0.2">
      <c r="B13" s="1" t="s">
        <v>84</v>
      </c>
      <c r="C13" s="13">
        <v>0</v>
      </c>
    </row>
    <row r="14" spans="1:3" x14ac:dyDescent="0.2">
      <c r="B14" s="1" t="s">
        <v>24</v>
      </c>
      <c r="C14" s="13">
        <v>0</v>
      </c>
    </row>
    <row r="15" spans="1:3" x14ac:dyDescent="0.2">
      <c r="B15" s="1" t="s">
        <v>28</v>
      </c>
      <c r="C15" s="13">
        <v>0</v>
      </c>
    </row>
    <row r="16" spans="1:3" x14ac:dyDescent="0.2">
      <c r="B16" s="1" t="s">
        <v>31</v>
      </c>
      <c r="C16" s="13">
        <v>0</v>
      </c>
    </row>
    <row r="17" spans="2:5" x14ac:dyDescent="0.2">
      <c r="B17" s="1" t="s">
        <v>66</v>
      </c>
      <c r="C17" s="13">
        <v>0</v>
      </c>
    </row>
    <row r="18" spans="2:5" x14ac:dyDescent="0.2">
      <c r="B18" s="1" t="s">
        <v>69</v>
      </c>
      <c r="C18" s="13">
        <v>0</v>
      </c>
    </row>
    <row r="19" spans="2:5" x14ac:dyDescent="0.2">
      <c r="B19" s="1" t="s">
        <v>30</v>
      </c>
      <c r="C19" s="13">
        <v>0</v>
      </c>
    </row>
    <row r="20" spans="2:5" ht="13.5" thickBot="1" x14ac:dyDescent="0.25"/>
    <row r="21" spans="2:5" x14ac:dyDescent="0.2">
      <c r="B21" s="125" t="s">
        <v>85</v>
      </c>
      <c r="C21" s="123" t="s">
        <v>88</v>
      </c>
      <c r="D21" s="124"/>
      <c r="E21" s="125" t="s">
        <v>89</v>
      </c>
    </row>
    <row r="22" spans="2:5" ht="13.5" thickBot="1" x14ac:dyDescent="0.25">
      <c r="B22" s="126"/>
      <c r="C22" s="15" t="s">
        <v>2</v>
      </c>
      <c r="D22" s="16" t="s">
        <v>3</v>
      </c>
      <c r="E22" s="126"/>
    </row>
    <row r="23" spans="2:5" x14ac:dyDescent="0.2">
      <c r="B23" s="4" t="s">
        <v>7</v>
      </c>
      <c r="C23" s="4">
        <v>1</v>
      </c>
      <c r="D23" s="4">
        <v>1</v>
      </c>
      <c r="E23" s="17" t="s">
        <v>77</v>
      </c>
    </row>
    <row r="24" spans="2:5" x14ac:dyDescent="0.2">
      <c r="B24" s="18" t="s">
        <v>82</v>
      </c>
      <c r="C24" s="18">
        <v>1</v>
      </c>
      <c r="D24" s="18">
        <v>1</v>
      </c>
      <c r="E24" s="19" t="s">
        <v>77</v>
      </c>
    </row>
    <row r="25" spans="2:5" x14ac:dyDescent="0.2">
      <c r="B25" s="18" t="s">
        <v>20</v>
      </c>
      <c r="C25" s="18">
        <f>1.136672-(LN(Standards!$B$1)*0.041838)</f>
        <v>1.0020006732391642</v>
      </c>
      <c r="D25" s="18">
        <f>1.101672-(LN(Standards!$B$1)*0.041838)</f>
        <v>0.96700067323916428</v>
      </c>
      <c r="E25" s="19" t="s">
        <v>77</v>
      </c>
    </row>
    <row r="26" spans="2:5" x14ac:dyDescent="0.2">
      <c r="B26" s="18" t="s">
        <v>83</v>
      </c>
      <c r="C26" s="18">
        <v>0.316</v>
      </c>
      <c r="D26" s="18">
        <v>0.86</v>
      </c>
      <c r="E26" s="19" t="s">
        <v>77</v>
      </c>
    </row>
    <row r="27" spans="2:5" x14ac:dyDescent="0.2">
      <c r="B27" s="18" t="s">
        <v>84</v>
      </c>
      <c r="C27" s="18">
        <v>0.98199999999999998</v>
      </c>
      <c r="D27" s="18">
        <v>0.96199999999999997</v>
      </c>
      <c r="E27" s="19" t="s">
        <v>77</v>
      </c>
    </row>
    <row r="28" spans="2:5" x14ac:dyDescent="0.2">
      <c r="B28" s="18" t="s">
        <v>24</v>
      </c>
      <c r="C28" s="18">
        <v>0.96</v>
      </c>
      <c r="D28" s="18">
        <v>0.96</v>
      </c>
      <c r="E28" s="19" t="s">
        <v>77</v>
      </c>
    </row>
    <row r="29" spans="2:5" x14ac:dyDescent="0.2">
      <c r="B29" s="18" t="s">
        <v>28</v>
      </c>
      <c r="C29" s="18">
        <f>1.46203-(LN(Standards!$B$1)*0.145712)</f>
        <v>0.99300116580680475</v>
      </c>
      <c r="D29" s="18">
        <f>1.46203-(LN(Standards!$B$1)*0.145712)</f>
        <v>0.99300116580680475</v>
      </c>
      <c r="E29" s="19" t="s">
        <v>77</v>
      </c>
    </row>
    <row r="30" spans="2:5" x14ac:dyDescent="0.2">
      <c r="B30" s="18" t="s">
        <v>31</v>
      </c>
      <c r="C30" s="18">
        <v>0.998</v>
      </c>
      <c r="D30" s="18">
        <v>0.997</v>
      </c>
      <c r="E30" s="19" t="s">
        <v>77</v>
      </c>
    </row>
    <row r="31" spans="2:5" x14ac:dyDescent="0.2">
      <c r="B31" s="18" t="s">
        <v>66</v>
      </c>
      <c r="C31" s="18">
        <v>0.85</v>
      </c>
      <c r="D31" s="18" t="s">
        <v>86</v>
      </c>
      <c r="E31" s="19" t="s">
        <v>77</v>
      </c>
    </row>
    <row r="32" spans="2:5" x14ac:dyDescent="0.2">
      <c r="B32" s="18" t="s">
        <v>69</v>
      </c>
      <c r="C32" s="18">
        <v>0.97799999999999998</v>
      </c>
      <c r="D32" s="18">
        <v>0.98599999999999999</v>
      </c>
      <c r="E32" s="19" t="s">
        <v>77</v>
      </c>
    </row>
    <row r="33" spans="2:5" ht="13.5" thickBot="1" x14ac:dyDescent="0.25">
      <c r="B33" s="24" t="s">
        <v>30</v>
      </c>
      <c r="C33" s="5">
        <v>0.85</v>
      </c>
      <c r="D33" s="5">
        <v>0.85</v>
      </c>
      <c r="E33" s="20" t="s">
        <v>77</v>
      </c>
    </row>
  </sheetData>
  <sheetProtection password="CCE9" sheet="1" objects="1" scenarios="1"/>
  <customSheetViews>
    <customSheetView guid="{1427C86A-26C6-4A3A-B53B-CDE7110D9A30}" scale="75" showRuler="0">
      <selection activeCell="C8" sqref="C8"/>
      <pageMargins left="0.75" right="0.75" top="1" bottom="1" header="0.5" footer="0.5"/>
      <pageSetup orientation="portrait" r:id="rId1"/>
      <headerFooter alignWithMargins="0"/>
    </customSheetView>
  </customSheetViews>
  <mergeCells count="3">
    <mergeCell ref="C21:D21"/>
    <mergeCell ref="E21:E22"/>
    <mergeCell ref="B21:B22"/>
  </mergeCells>
  <phoneticPr fontId="0" type="noConversion"/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3"/>
  <sheetViews>
    <sheetView showRuler="0" zoomScale="75" workbookViewId="0">
      <pane ySplit="8" topLeftCell="A9" activePane="bottomLeft" state="frozenSplit"/>
      <selection pane="bottomLeft" activeCell="C39" sqref="C39"/>
    </sheetView>
  </sheetViews>
  <sheetFormatPr defaultRowHeight="12.75" x14ac:dyDescent="0.2"/>
  <cols>
    <col min="2" max="2" width="9.85546875" customWidth="1"/>
    <col min="3" max="3" width="31.140625" customWidth="1"/>
    <col min="4" max="13" width="12.7109375" customWidth="1"/>
  </cols>
  <sheetData>
    <row r="1" spans="1:13" ht="15.75" x14ac:dyDescent="0.25">
      <c r="A1">
        <f>'POC Assessment'!E13</f>
        <v>0</v>
      </c>
      <c r="B1" s="12">
        <f>'Standards Short List'!B6</f>
        <v>25</v>
      </c>
      <c r="C1" s="9" t="s">
        <v>8</v>
      </c>
      <c r="D1" s="10" t="s">
        <v>125</v>
      </c>
    </row>
    <row r="2" spans="1:13" ht="15.75" x14ac:dyDescent="0.25">
      <c r="B2" s="23">
        <f>'POC Assessment'!E14</f>
        <v>0</v>
      </c>
      <c r="C2" s="9" t="s">
        <v>9</v>
      </c>
      <c r="D2" s="10" t="s">
        <v>76</v>
      </c>
    </row>
    <row r="3" spans="1:13" ht="15" x14ac:dyDescent="0.2">
      <c r="B3" s="14">
        <f>'POC Assessment'!E15</f>
        <v>0</v>
      </c>
      <c r="C3" s="9" t="s">
        <v>10</v>
      </c>
      <c r="J3" s="1"/>
      <c r="K3" s="1"/>
      <c r="L3" s="1"/>
    </row>
    <row r="4" spans="1:13" ht="13.5" thickBot="1" x14ac:dyDescent="0.25">
      <c r="J4" s="1"/>
      <c r="K4" s="1"/>
      <c r="L4" s="1"/>
    </row>
    <row r="5" spans="1:13" x14ac:dyDescent="0.2">
      <c r="D5" s="129" t="s">
        <v>0</v>
      </c>
      <c r="E5" s="130"/>
      <c r="F5" s="130"/>
      <c r="G5" s="131"/>
      <c r="H5" s="136" t="s">
        <v>6</v>
      </c>
      <c r="I5" s="137"/>
      <c r="J5" s="129" t="s">
        <v>0</v>
      </c>
      <c r="K5" s="130"/>
      <c r="L5" s="131"/>
      <c r="M5" s="127" t="s">
        <v>6</v>
      </c>
    </row>
    <row r="6" spans="1:13" ht="13.5" thickBot="1" x14ac:dyDescent="0.25">
      <c r="D6" s="132" t="s">
        <v>1</v>
      </c>
      <c r="E6" s="133"/>
      <c r="F6" s="133"/>
      <c r="G6" s="134"/>
      <c r="H6" s="138"/>
      <c r="I6" s="139"/>
      <c r="J6" s="132" t="s">
        <v>12</v>
      </c>
      <c r="K6" s="133"/>
      <c r="L6" s="134"/>
      <c r="M6" s="128"/>
    </row>
    <row r="7" spans="1:13" ht="13.5" thickBot="1" x14ac:dyDescent="0.25">
      <c r="D7" s="135" t="s">
        <v>4</v>
      </c>
      <c r="E7" s="135"/>
      <c r="F7" s="135" t="s">
        <v>5</v>
      </c>
      <c r="G7" s="135"/>
      <c r="H7" s="135" t="s">
        <v>1</v>
      </c>
      <c r="I7" s="135"/>
      <c r="J7" s="135" t="s">
        <v>13</v>
      </c>
      <c r="K7" s="135"/>
      <c r="L7" s="135"/>
      <c r="M7" s="4" t="s">
        <v>70</v>
      </c>
    </row>
    <row r="8" spans="1:13" ht="13.5" thickBot="1" x14ac:dyDescent="0.25"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J8" s="3" t="s">
        <v>14</v>
      </c>
      <c r="K8" s="3" t="s">
        <v>15</v>
      </c>
      <c r="L8" s="3" t="s">
        <v>16</v>
      </c>
      <c r="M8" s="5" t="s">
        <v>71</v>
      </c>
    </row>
    <row r="9" spans="1:13" x14ac:dyDescent="0.2">
      <c r="B9">
        <v>1</v>
      </c>
      <c r="C9" s="8" t="s">
        <v>7</v>
      </c>
      <c r="D9" s="1">
        <f>0.75*1/(IF(Translator!C9=0,Translator!C23,Translator!E23))</f>
        <v>0.75</v>
      </c>
      <c r="E9" s="1">
        <f>0.75*1/(IF(Translator!C9=0,Translator!C23,Translator!E23))</f>
        <v>0.75</v>
      </c>
      <c r="F9" s="1">
        <f>0.75*1/(IF(Translator!C9=0,Translator!C23,Translator!E23))</f>
        <v>0.75</v>
      </c>
      <c r="G9" s="1">
        <f>0.087*1/(IF(Translator!C9=0,Translator!D23,Translator!E23))</f>
        <v>8.6999999999999994E-2</v>
      </c>
      <c r="H9" s="1" t="s">
        <v>77</v>
      </c>
      <c r="I9" s="1" t="s">
        <v>77</v>
      </c>
      <c r="J9" s="1" t="s">
        <v>77</v>
      </c>
      <c r="K9" s="1" t="s">
        <v>77</v>
      </c>
      <c r="L9" s="1" t="s">
        <v>77</v>
      </c>
      <c r="M9" s="1" t="s">
        <v>77</v>
      </c>
    </row>
    <row r="10" spans="1:13" x14ac:dyDescent="0.2">
      <c r="B10">
        <f>+B9+1</f>
        <v>2</v>
      </c>
      <c r="C10" s="8" t="s">
        <v>74</v>
      </c>
      <c r="D10" s="6">
        <f>+((0.411)/(1+10^(7.204-$B$3)))+(58.4/(1+10^($B$3-7.204)))</f>
        <v>58.399996374686296</v>
      </c>
      <c r="E10" s="7">
        <f>2.5*(((0.0577)/(1+10^(7.688-$B$3)))+(2.487/(1+10^($B$3-7.688))))*MIN(2.85,1.45*10^(0.028*(25-$B$2)))</f>
        <v>17.719874644969217</v>
      </c>
      <c r="F10" s="6">
        <f>+((0.275)/(1+10^(7.204-$B$3)))+(39/(1+10^($B$3-7.204)))</f>
        <v>38.999997579018896</v>
      </c>
      <c r="G10" s="7">
        <f>2.5*(((0.0577)/(1+10^(7.688-$B$3)))+(2.487/(1+10^($B$3-7.688))))*MIN(2.85,1.45*10^(0.028*(25-$B$2)))</f>
        <v>17.719874644969217</v>
      </c>
      <c r="H10" s="6">
        <f>+((0.411)/(1+10^(7.204-$B$3)))+(58.4/(1+10^($B$3-7.204)))</f>
        <v>58.399996374686296</v>
      </c>
      <c r="I10" s="7">
        <f>2.5*(((0.0577)/(1+10^(7.688-$B$3)))+(2.487/(1+10^($B$3-7.688))))*MIN(2.85,1.45*10^(0.028*(25-$B$2)))</f>
        <v>17.719874644969217</v>
      </c>
      <c r="J10" s="1" t="s">
        <v>77</v>
      </c>
      <c r="K10" s="2" t="s">
        <v>77</v>
      </c>
      <c r="L10" s="1" t="s">
        <v>77</v>
      </c>
      <c r="M10" s="21">
        <v>1</v>
      </c>
    </row>
    <row r="11" spans="1:13" x14ac:dyDescent="0.2">
      <c r="B11">
        <f t="shared" ref="B11:B74" si="0">+B10+1</f>
        <v>3</v>
      </c>
      <c r="C11" s="8" t="s">
        <v>11</v>
      </c>
      <c r="D11" s="1" t="s">
        <v>77</v>
      </c>
      <c r="E11" s="1" t="s">
        <v>77</v>
      </c>
      <c r="F11" s="1" t="s">
        <v>77</v>
      </c>
      <c r="G11" s="1" t="s">
        <v>77</v>
      </c>
      <c r="H11" s="1" t="s">
        <v>77</v>
      </c>
      <c r="I11" s="1" t="s">
        <v>77</v>
      </c>
      <c r="J11" s="1">
        <v>4.3</v>
      </c>
      <c r="K11" s="1">
        <v>1.4E-2</v>
      </c>
      <c r="L11" s="1" t="s">
        <v>77</v>
      </c>
      <c r="M11" s="1">
        <v>5.5999999999999999E-3</v>
      </c>
    </row>
    <row r="12" spans="1:13" x14ac:dyDescent="0.2">
      <c r="B12">
        <f t="shared" si="0"/>
        <v>4</v>
      </c>
      <c r="C12" s="8" t="s">
        <v>17</v>
      </c>
      <c r="D12" s="1">
        <f>0.34*1/IF(Translator!C10=0,Translator!C24,Translator!E24)</f>
        <v>0.34</v>
      </c>
      <c r="E12" s="1">
        <f>0.15*1/IF(Translator!C10=0,Translator!D24,Translator!E24)</f>
        <v>0.15</v>
      </c>
      <c r="F12" s="1">
        <f>0.34*1/IF(Translator!C10=0,Translator!C24,Translator!E24)</f>
        <v>0.34</v>
      </c>
      <c r="G12" s="1">
        <f>0.15*1/IF(Translator!C10=0,Translator!D24,Translator!E24)</f>
        <v>0.15</v>
      </c>
      <c r="H12" s="1">
        <f>0.34*1/IF(Translator!C10=0,Translator!C24,Translator!E24)</f>
        <v>0.34</v>
      </c>
      <c r="I12" s="1">
        <f>0.15*1/IF(Translator!C10=0,Translator!D24,Translator!E24)</f>
        <v>0.15</v>
      </c>
      <c r="J12" s="1">
        <v>0.01</v>
      </c>
      <c r="K12" s="1">
        <v>0.01</v>
      </c>
      <c r="L12" s="1">
        <v>0.1</v>
      </c>
      <c r="M12" s="1">
        <v>0.01</v>
      </c>
    </row>
    <row r="13" spans="1:13" x14ac:dyDescent="0.2">
      <c r="B13">
        <f t="shared" si="0"/>
        <v>5</v>
      </c>
      <c r="C13" s="8" t="s">
        <v>18</v>
      </c>
      <c r="D13" s="1" t="s">
        <v>77</v>
      </c>
      <c r="E13" s="1" t="s">
        <v>77</v>
      </c>
      <c r="F13" s="1" t="s">
        <v>77</v>
      </c>
      <c r="G13" s="1" t="s">
        <v>77</v>
      </c>
      <c r="H13" s="1" t="s">
        <v>77</v>
      </c>
      <c r="I13" s="1" t="s">
        <v>77</v>
      </c>
      <c r="J13" s="1" t="s">
        <v>77</v>
      </c>
      <c r="K13" s="1">
        <v>1</v>
      </c>
      <c r="L13" s="1" t="s">
        <v>77</v>
      </c>
      <c r="M13" s="1">
        <v>1</v>
      </c>
    </row>
    <row r="14" spans="1:13" x14ac:dyDescent="0.2">
      <c r="B14">
        <f t="shared" si="0"/>
        <v>6</v>
      </c>
      <c r="C14" s="8" t="s">
        <v>19</v>
      </c>
      <c r="D14" s="1">
        <v>0.13</v>
      </c>
      <c r="E14" s="1" t="s">
        <v>77</v>
      </c>
      <c r="F14" s="1">
        <v>0.13</v>
      </c>
      <c r="G14" s="1" t="s">
        <v>77</v>
      </c>
      <c r="H14" s="1" t="s">
        <v>77</v>
      </c>
      <c r="I14" s="1" t="s">
        <v>77</v>
      </c>
      <c r="J14" s="1" t="s">
        <v>77</v>
      </c>
      <c r="K14" s="1">
        <v>4.0000000000000001E-3</v>
      </c>
      <c r="L14" s="1" t="s">
        <v>77</v>
      </c>
      <c r="M14" s="1" t="s">
        <v>77</v>
      </c>
    </row>
    <row r="15" spans="1:13" x14ac:dyDescent="0.2">
      <c r="B15">
        <f t="shared" si="0"/>
        <v>7</v>
      </c>
      <c r="C15" s="8" t="s">
        <v>20</v>
      </c>
      <c r="D15" s="1" t="e">
        <f>(EXP(1.0166*LN($A$1)-3.924)/1000)*(1.136672-(LN(A1)*0.041838))/IF(Translator!C11=0,Translator!C25,Translator!E25)</f>
        <v>#NUM!</v>
      </c>
      <c r="E15" s="1" t="e">
        <f>(EXP(0.7409*LN($A$1)-4.719)/1000)*(1.101672-(LN(A1)*0.041838))/IF(Translator!C11=0,Translator!D25,Translator!E25)</f>
        <v>#NUM!</v>
      </c>
      <c r="F15" s="1" t="e">
        <f>(EXP(1.0166*LN($A$1)-3.924)/1000)*(1.136672-(LN(A1)*0.041838))/IF(Translator!C11=0,Translator!C25,Translator!E25)</f>
        <v>#NUM!</v>
      </c>
      <c r="G15" s="1" t="e">
        <f>(EXP(0.7409*LN($A$1)-4.719)/1000)*(1.101672-(LN(A1)*0.041838))/IF(Translator!C11=0,Translator!D25,Translator!E25)</f>
        <v>#NUM!</v>
      </c>
      <c r="H15" s="1" t="e">
        <f>(EXP(1.0166*LN($A$1)-3.924)/1000)*(1.136672-(LN(A1)*0.041838))/IF(Translator!C11=0,Translator!C25,Translator!E25)</f>
        <v>#NUM!</v>
      </c>
      <c r="I15" s="1" t="e">
        <f>(EXP(0.7409*LN($A$1)-4.719)/1000)*(1.101672-(LN(A1)*0.041838))/IF(Translator!C11=0,Translator!D25,Translator!E25)</f>
        <v>#NUM!</v>
      </c>
      <c r="J15" s="1" t="s">
        <v>77</v>
      </c>
      <c r="K15" s="1">
        <f>IF(AND($A$1&gt;=0,$A$1&lt;=35),1,IF(AND($A$1&gt;=36,$A$1&lt;=75),2,IF(AND($A$1&gt;=76,$A$1&lt;=150),5,10)))/1000</f>
        <v>1E-3</v>
      </c>
      <c r="L15" s="1" t="s">
        <v>77</v>
      </c>
      <c r="M15" s="1" t="s">
        <v>77</v>
      </c>
    </row>
    <row r="16" spans="1:13" x14ac:dyDescent="0.2">
      <c r="B16">
        <f t="shared" si="0"/>
        <v>8</v>
      </c>
      <c r="C16" s="8" t="s">
        <v>21</v>
      </c>
      <c r="D16" s="1">
        <v>860</v>
      </c>
      <c r="E16" s="1">
        <v>230</v>
      </c>
      <c r="F16" s="1">
        <v>860</v>
      </c>
      <c r="G16" s="1">
        <v>230</v>
      </c>
      <c r="H16" s="1" t="s">
        <v>77</v>
      </c>
      <c r="I16" s="1" t="s">
        <v>77</v>
      </c>
      <c r="J16" s="1">
        <v>250</v>
      </c>
      <c r="K16" s="1">
        <v>250</v>
      </c>
      <c r="L16" s="1" t="s">
        <v>77</v>
      </c>
      <c r="M16" s="1">
        <v>250</v>
      </c>
    </row>
    <row r="17" spans="2:13" x14ac:dyDescent="0.2">
      <c r="B17">
        <f t="shared" si="0"/>
        <v>9</v>
      </c>
      <c r="C17" s="8" t="s">
        <v>22</v>
      </c>
      <c r="D17" s="1">
        <f>0.016*0.982/IF(Translator!C13=0,Translator!C27,Translator!E27)</f>
        <v>1.6E-2</v>
      </c>
      <c r="E17" s="1">
        <f>0.011*0.962/IF(Translator!C13=0,Translator!D27,Translator!E27)</f>
        <v>1.0999999999999999E-2</v>
      </c>
      <c r="F17" s="1">
        <f>0.016*0.982/IF(Translator!C13=0,Translator!C27,Translator!E27)</f>
        <v>1.6E-2</v>
      </c>
      <c r="G17" s="1">
        <f>0.0072*0.962/IF(Translator!C13=0,Translator!D27,Translator!E27)</f>
        <v>7.1999999999999998E-3</v>
      </c>
      <c r="H17" s="21">
        <f>0.016*0.982/IF(Translator!C13=0,Translator!C27,Translator!E27)</f>
        <v>1.6E-2</v>
      </c>
      <c r="I17" s="1">
        <f>0.011*0.962/IF(Translator!C13=0,Translator!D27,Translator!E27)</f>
        <v>1.0999999999999999E-2</v>
      </c>
      <c r="J17" s="1" t="s">
        <v>77</v>
      </c>
      <c r="K17" s="1">
        <v>0.05</v>
      </c>
      <c r="L17" s="1" t="s">
        <v>77</v>
      </c>
      <c r="M17" s="1" t="s">
        <v>77</v>
      </c>
    </row>
    <row r="18" spans="2:13" x14ac:dyDescent="0.2">
      <c r="B18">
        <f t="shared" si="0"/>
        <v>10</v>
      </c>
      <c r="C18" s="8" t="s">
        <v>23</v>
      </c>
      <c r="D18" s="1" t="e">
        <f>(EXP(0.819*LN($A$1)+3.7256)/1000)*0.316/(IF(Translator!C12=0,Translator!C26,Translator!E26))</f>
        <v>#NUM!</v>
      </c>
      <c r="E18" s="1" t="e">
        <f>(EXP(0.819*LN($A$1)+0.6848)/1000)*0.86/(IF(Translator!C12=0,Translator!D26,Translator!E26))</f>
        <v>#NUM!</v>
      </c>
      <c r="F18" s="1" t="e">
        <f>(EXP(0.819*LN($A$1)+3.7256)/1000)*0.316/(IF(Translator!C12=0,Translator!C26,Translator!E26))</f>
        <v>#NUM!</v>
      </c>
      <c r="G18" s="1" t="e">
        <f>(EXP(0.819*LN($A$1)+0.6848)/1000)*0.86/(IF(Translator!C12=0,Translator!D26,Translator!E26))</f>
        <v>#NUM!</v>
      </c>
      <c r="H18" s="1" t="e">
        <f>EXP(0.819*LN($A$1)+3.7256)/1000*0.316/(IF(Translator!C12=0,Translator!C26,Translator!E26))</f>
        <v>#NUM!</v>
      </c>
      <c r="I18" s="1" t="e">
        <f>EXP(0.819*LN($A$1)+0.6848)/1000*0.86/(IF(Translator!C12=0,Translator!D26,Translator!E26))</f>
        <v>#NUM!</v>
      </c>
      <c r="J18" s="1" t="s">
        <v>77</v>
      </c>
      <c r="K18" s="1" t="s">
        <v>77</v>
      </c>
      <c r="L18" s="1" t="s">
        <v>77</v>
      </c>
      <c r="M18" s="1" t="s">
        <v>77</v>
      </c>
    </row>
    <row r="19" spans="2:13" x14ac:dyDescent="0.2">
      <c r="B19">
        <f t="shared" si="0"/>
        <v>11</v>
      </c>
      <c r="C19" s="8" t="s">
        <v>24</v>
      </c>
      <c r="D19" s="1">
        <f>(EXP(0.9422*LN($B$1)-1.7)/1000)*0.96/(IF(Translator!C14=0,Translator!C28,Translator!E28))</f>
        <v>3.7917391868599348E-3</v>
      </c>
      <c r="E19" s="1">
        <f>(EXP(0.8545*LN($B$1)-1.702)/1000)*0.96/(IF(Translator!C14=0,Translator!D28,Translator!E28))</f>
        <v>2.8534517230556027E-3</v>
      </c>
      <c r="F19" s="1">
        <f>(EXP(0.9422*LN($B$1)-1.7)/1000)*0.96/(IF(Translator!C14=0,Translator!C28,Translator!E28))</f>
        <v>3.7917391868599348E-3</v>
      </c>
      <c r="G19" s="1">
        <f>(EXP(0.8545*LN($B$1)-1.702)/1000)*0.96/(IF(Translator!C14=0,Translator!D28,Translator!E28))</f>
        <v>2.8534517230556027E-3</v>
      </c>
      <c r="H19" s="1">
        <f>(EXP(0.9422*LN($B$1)-1.7)/1000)*0.96/(IF(Translator!C14=0,Translator!C28,Translator!E28))</f>
        <v>3.7917391868599348E-3</v>
      </c>
      <c r="I19" s="1">
        <f>(EXP(0.8545*LN($B$1)-1.702)/1000*0.96)/(IF(Translator!C14=0,Translator!D28,Translator!E28))</f>
        <v>2.8534517230556027E-3</v>
      </c>
      <c r="J19" s="1" t="s">
        <v>77</v>
      </c>
      <c r="K19" s="1">
        <v>1</v>
      </c>
      <c r="L19" s="1" t="s">
        <v>77</v>
      </c>
      <c r="M19" s="1">
        <v>1.3</v>
      </c>
    </row>
    <row r="20" spans="2:13" x14ac:dyDescent="0.2">
      <c r="B20">
        <f t="shared" si="0"/>
        <v>12</v>
      </c>
      <c r="C20" s="8" t="s">
        <v>25</v>
      </c>
      <c r="D20" s="1">
        <v>2.1999999999999999E-2</v>
      </c>
      <c r="E20" s="1">
        <v>5.0000000000000001E-3</v>
      </c>
      <c r="F20" s="1">
        <v>2.1999999999999999E-2</v>
      </c>
      <c r="G20" s="1">
        <v>5.0000000000000001E-3</v>
      </c>
      <c r="H20" s="1">
        <v>2.1999999999999999E-2</v>
      </c>
      <c r="I20" s="1">
        <v>5.1999999999999998E-3</v>
      </c>
      <c r="J20" s="1">
        <v>5.0000000000000001E-3</v>
      </c>
      <c r="K20" s="1">
        <v>5.0000000000000001E-3</v>
      </c>
      <c r="L20" s="1" t="s">
        <v>77</v>
      </c>
      <c r="M20" s="1">
        <v>0.14000000000000001</v>
      </c>
    </row>
    <row r="21" spans="2:13" x14ac:dyDescent="0.2">
      <c r="B21">
        <f t="shared" si="0"/>
        <v>13</v>
      </c>
      <c r="C21" s="8" t="s">
        <v>26</v>
      </c>
      <c r="D21" s="1" t="s">
        <v>77</v>
      </c>
      <c r="E21" s="1" t="s">
        <v>77</v>
      </c>
      <c r="F21" s="1" t="s">
        <v>77</v>
      </c>
      <c r="G21" s="1" t="s">
        <v>77</v>
      </c>
      <c r="H21" s="1" t="s">
        <v>77</v>
      </c>
      <c r="I21" s="1" t="s">
        <v>77</v>
      </c>
      <c r="J21" s="1" t="s">
        <v>77</v>
      </c>
      <c r="K21" s="1">
        <v>1.4</v>
      </c>
      <c r="L21" s="1">
        <v>2</v>
      </c>
      <c r="M21" s="1">
        <v>1</v>
      </c>
    </row>
    <row r="22" spans="2:13" x14ac:dyDescent="0.2">
      <c r="B22">
        <f t="shared" si="0"/>
        <v>14</v>
      </c>
      <c r="C22" s="8" t="s">
        <v>27</v>
      </c>
      <c r="D22" s="1" t="s">
        <v>77</v>
      </c>
      <c r="E22" s="1">
        <v>1.5</v>
      </c>
      <c r="F22" s="1" t="s">
        <v>77</v>
      </c>
      <c r="G22" s="1">
        <v>1</v>
      </c>
      <c r="H22" s="1" t="s">
        <v>77</v>
      </c>
      <c r="I22" s="1" t="s">
        <v>77</v>
      </c>
      <c r="J22" s="1" t="s">
        <v>77</v>
      </c>
      <c r="K22" s="1">
        <v>1.5</v>
      </c>
      <c r="L22" s="1" t="s">
        <v>77</v>
      </c>
      <c r="M22" s="1" t="s">
        <v>77</v>
      </c>
    </row>
    <row r="23" spans="2:13" x14ac:dyDescent="0.2">
      <c r="B23">
        <f t="shared" si="0"/>
        <v>15</v>
      </c>
      <c r="C23" s="8" t="s">
        <v>28</v>
      </c>
      <c r="D23" s="1">
        <f>(EXP(1.273*LN($B$1)-1.46)/1000)*(1.46203-(LN(Standards!$B$1)*0.145712))/(IF(Translator!C15=0,Translator!C29,Translator!E29))</f>
        <v>1.3980016611766601E-2</v>
      </c>
      <c r="E23" s="1">
        <f>(EXP(1.273*LN($B$1)-4.705)/1000)*(1.46203-(LN(Standards!$B$1)*0.145712))/(IF(Translator!C15=0,Translator!D29,Translator!E29))</f>
        <v>5.4478117705154382E-4</v>
      </c>
      <c r="F23" s="1">
        <f>(EXP(1.273*LN($B$1)-1.46)/1000)*(1.46203-(LN(Standards!$B$1)*0.145712))/(IF(Translator!C15=0,Translator!C29,Translator!E29))</f>
        <v>1.3980016611766601E-2</v>
      </c>
      <c r="G23" s="1">
        <f>(EXP(1.273*LN($B$1)-4.705)/1000)*(1.46203-(LN(Standards!$B$1)*0.145712))/(IF(Translator!C15=0,Translator!D29,Translator!E29))</f>
        <v>5.4478117705154382E-4</v>
      </c>
      <c r="H23" s="1">
        <f>(EXP(1.273*LN($B$1)-1.46)/1000)*(1.46203-(LN(Standards!$B$1)*0.145712))/(IF(Translator!C15=0,Translator!C29,Translator!E29))</f>
        <v>1.3980016611766601E-2</v>
      </c>
      <c r="I23" s="1">
        <f>(EXP(1.273*LN($B$1)-4.705)/1000)*(1.46203-(LN(Standards!$B$1)*0.145712))/(IF(Translator!C15=0,Translator!D29,Translator!E29))</f>
        <v>5.4478117705154382E-4</v>
      </c>
      <c r="J23" s="1" t="s">
        <v>77</v>
      </c>
      <c r="K23" s="1">
        <v>0.05</v>
      </c>
      <c r="L23" s="1" t="s">
        <v>77</v>
      </c>
      <c r="M23" s="1" t="s">
        <v>77</v>
      </c>
    </row>
    <row r="24" spans="2:13" x14ac:dyDescent="0.2">
      <c r="B24">
        <f t="shared" si="0"/>
        <v>16</v>
      </c>
      <c r="C24" s="8" t="s">
        <v>29</v>
      </c>
      <c r="D24" s="1" t="s">
        <v>77</v>
      </c>
      <c r="E24" s="1" t="s">
        <v>77</v>
      </c>
      <c r="F24" s="1" t="s">
        <v>77</v>
      </c>
      <c r="G24" s="1" t="s">
        <v>77</v>
      </c>
      <c r="H24" s="1" t="s">
        <v>77</v>
      </c>
      <c r="I24" s="1" t="s">
        <v>77</v>
      </c>
      <c r="J24" s="1" t="s">
        <v>77</v>
      </c>
      <c r="K24" s="1">
        <v>1</v>
      </c>
      <c r="L24" s="1" t="s">
        <v>77</v>
      </c>
      <c r="M24" s="1" t="s">
        <v>77</v>
      </c>
    </row>
    <row r="25" spans="2:13" x14ac:dyDescent="0.2">
      <c r="B25">
        <f t="shared" si="0"/>
        <v>17</v>
      </c>
      <c r="C25" s="8" t="s">
        <v>30</v>
      </c>
      <c r="D25" s="1">
        <v>2.3999999999999998E-3</v>
      </c>
      <c r="E25" s="1">
        <v>1.2E-5</v>
      </c>
      <c r="F25" s="1">
        <v>2.3999999999999998E-3</v>
      </c>
      <c r="G25" s="1">
        <v>1.2E-5</v>
      </c>
      <c r="H25" s="1">
        <f>0.0017*0.85/(IF(Translator!C19=0,Translator!C33,Translator!E33))</f>
        <v>1.6999999999999999E-3</v>
      </c>
      <c r="I25" s="1">
        <f>0.00091*0.85/(IF(Translator!C19=0,Translator!D33,Translator!E33))</f>
        <v>9.1E-4</v>
      </c>
      <c r="J25" s="1">
        <v>1.4999999999999999E-4</v>
      </c>
      <c r="K25" s="1">
        <v>1.3999999999999999E-4</v>
      </c>
      <c r="L25" s="1" t="s">
        <v>77</v>
      </c>
      <c r="M25" s="1">
        <v>1.2E-5</v>
      </c>
    </row>
    <row r="26" spans="2:13" x14ac:dyDescent="0.2">
      <c r="B26">
        <f t="shared" si="0"/>
        <v>18</v>
      </c>
      <c r="C26" s="8" t="s">
        <v>31</v>
      </c>
      <c r="D26" s="1">
        <f>(EXP(0.846*LN($B$1)+2.255)/1000)*0.998/(IF(Translator!C16=0,Translator!C30,Translator!E30))</f>
        <v>0.14520825419362529</v>
      </c>
      <c r="E26" s="1">
        <f>(EXP(0.846*LN($B$1)+0.0584)/1000)*0.997/(IF(Translator!C16=0,Translator!D30,Translator!E30))</f>
        <v>1.6144330700751695E-2</v>
      </c>
      <c r="F26" s="1">
        <f>(EXP(0.846*LN($B$1)+2.255)/1000)*0.998/(IF(Translator!C16=0,Translator!C30,Translator!E30))</f>
        <v>0.14520825419362529</v>
      </c>
      <c r="G26" s="1">
        <f>(EXP(0.846*LN($B$1)+0.0584)/1000)*0.997/(IF(Translator!C16=0,Translator!D30,Translator!E30))</f>
        <v>1.6144330700751695E-2</v>
      </c>
      <c r="H26" s="1">
        <f>(EXP(0.846*LN($B$1)+2.255)/1000)*0.998/(IF(Translator!C16=0,Translator!C30,Translator!E30))</f>
        <v>0.14520825419362529</v>
      </c>
      <c r="I26" s="1">
        <f>(EXP(0.846*LN($B$1)+0.0584)/1000)*0.997/(IF(Translator!C16=0,Translator!D30,Translator!E30))</f>
        <v>1.6144330700751695E-2</v>
      </c>
      <c r="J26" s="1">
        <v>4.5999999999999996</v>
      </c>
      <c r="K26" s="1">
        <v>0.51</v>
      </c>
      <c r="L26" s="1" t="s">
        <v>77</v>
      </c>
      <c r="M26" s="1">
        <v>0.61</v>
      </c>
    </row>
    <row r="27" spans="2:13" x14ac:dyDescent="0.2">
      <c r="B27">
        <f t="shared" si="0"/>
        <v>19</v>
      </c>
      <c r="C27" s="8" t="s">
        <v>32</v>
      </c>
      <c r="D27" s="1" t="s">
        <v>77</v>
      </c>
      <c r="E27" s="1" t="s">
        <v>77</v>
      </c>
      <c r="F27" s="1" t="s">
        <v>77</v>
      </c>
      <c r="G27" s="1" t="s">
        <v>77</v>
      </c>
      <c r="H27" s="1" t="s">
        <v>77</v>
      </c>
      <c r="I27" s="1" t="s">
        <v>77</v>
      </c>
      <c r="J27" s="1" t="s">
        <v>77</v>
      </c>
      <c r="K27" s="1">
        <v>10</v>
      </c>
      <c r="L27" s="1" t="s">
        <v>77</v>
      </c>
      <c r="M27" s="1" t="s">
        <v>77</v>
      </c>
    </row>
    <row r="28" spans="2:13" x14ac:dyDescent="0.2">
      <c r="B28">
        <f t="shared" si="0"/>
        <v>20</v>
      </c>
      <c r="C28" s="8" t="s">
        <v>33</v>
      </c>
      <c r="D28" s="1">
        <v>1</v>
      </c>
      <c r="E28" s="1">
        <v>1</v>
      </c>
      <c r="F28" s="1">
        <v>0.06</v>
      </c>
      <c r="G28" s="1">
        <v>0.06</v>
      </c>
      <c r="H28" s="1" t="s">
        <v>77</v>
      </c>
      <c r="I28" s="1" t="s">
        <v>77</v>
      </c>
      <c r="J28" s="1" t="s">
        <v>77</v>
      </c>
      <c r="K28" s="1" t="s">
        <v>77</v>
      </c>
      <c r="L28" s="1" t="s">
        <v>77</v>
      </c>
      <c r="M28" s="1">
        <v>1</v>
      </c>
    </row>
    <row r="29" spans="2:13" x14ac:dyDescent="0.2">
      <c r="B29">
        <f t="shared" si="0"/>
        <v>21</v>
      </c>
      <c r="C29" s="8" t="s">
        <v>34</v>
      </c>
      <c r="D29" s="1">
        <v>2.3999999999999998E-3</v>
      </c>
      <c r="E29" s="1">
        <v>4.3000000000000003E-6</v>
      </c>
      <c r="F29" s="1">
        <v>2.3999999999999998E-3</v>
      </c>
      <c r="G29" s="1">
        <v>4.3000000000000003E-6</v>
      </c>
      <c r="H29" s="1" t="s">
        <v>77</v>
      </c>
      <c r="I29" s="1" t="s">
        <v>77</v>
      </c>
      <c r="J29" s="1">
        <v>4.5999999999999999E-7</v>
      </c>
      <c r="K29" s="1">
        <v>4.5999999999999999E-7</v>
      </c>
      <c r="L29" s="1">
        <v>4.5999999999999999E-7</v>
      </c>
      <c r="M29" s="1">
        <v>7.9999999999999996E-7</v>
      </c>
    </row>
    <row r="30" spans="2:13" x14ac:dyDescent="0.2">
      <c r="B30">
        <f t="shared" si="0"/>
        <v>22</v>
      </c>
      <c r="C30" s="22" t="s">
        <v>35</v>
      </c>
      <c r="D30" s="21">
        <v>1.1000000000000001E-3</v>
      </c>
      <c r="E30" s="1">
        <v>9.9999999999999995E-7</v>
      </c>
      <c r="F30" s="21">
        <v>1.1000000000000001E-3</v>
      </c>
      <c r="G30" s="21">
        <v>9.9999999999999995E-7</v>
      </c>
      <c r="H30" s="1" t="s">
        <v>77</v>
      </c>
      <c r="I30" s="1" t="s">
        <v>77</v>
      </c>
      <c r="J30" s="21">
        <v>2.4E-8</v>
      </c>
      <c r="K30" s="1">
        <v>2.4E-8</v>
      </c>
      <c r="L30" s="21">
        <v>2.4E-8</v>
      </c>
      <c r="M30" s="21">
        <v>2.2000000000000001E-7</v>
      </c>
    </row>
    <row r="31" spans="2:13" x14ac:dyDescent="0.2">
      <c r="B31">
        <f t="shared" si="0"/>
        <v>23</v>
      </c>
      <c r="C31" s="8" t="s">
        <v>36</v>
      </c>
      <c r="D31" s="1">
        <v>3.0000000000000001E-6</v>
      </c>
      <c r="E31" s="1" t="s">
        <v>77</v>
      </c>
      <c r="F31" s="1">
        <v>3.0000000000000001E-6</v>
      </c>
      <c r="G31" s="1" t="s">
        <v>77</v>
      </c>
      <c r="H31" s="1" t="s">
        <v>77</v>
      </c>
      <c r="I31" s="1" t="s">
        <v>77</v>
      </c>
      <c r="J31" s="1">
        <v>7.1E-8</v>
      </c>
      <c r="K31" s="1">
        <v>7.1E-8</v>
      </c>
      <c r="L31" s="1">
        <v>7.1E-8</v>
      </c>
      <c r="M31" s="1">
        <v>4.9000000000000002E-8</v>
      </c>
    </row>
    <row r="32" spans="2:13" x14ac:dyDescent="0.2">
      <c r="B32">
        <f t="shared" si="0"/>
        <v>24</v>
      </c>
      <c r="C32" s="8" t="s">
        <v>37</v>
      </c>
      <c r="D32" s="1">
        <v>2.5000000000000001E-3</v>
      </c>
      <c r="E32" s="1">
        <v>1.9E-6</v>
      </c>
      <c r="F32" s="1">
        <v>2.5000000000000001E-3</v>
      </c>
      <c r="G32" s="1">
        <v>1.9E-6</v>
      </c>
      <c r="H32" s="1" t="s">
        <v>77</v>
      </c>
      <c r="I32" s="1" t="s">
        <v>77</v>
      </c>
      <c r="J32" s="1">
        <v>7.1E-8</v>
      </c>
      <c r="K32" s="1">
        <v>7.1E-8</v>
      </c>
      <c r="L32" s="1">
        <v>7.1E-8</v>
      </c>
      <c r="M32" s="1">
        <v>5.2000000000000002E-8</v>
      </c>
    </row>
    <row r="33" spans="2:13" x14ac:dyDescent="0.2">
      <c r="B33">
        <f t="shared" si="0"/>
        <v>25</v>
      </c>
      <c r="C33" s="8" t="s">
        <v>38</v>
      </c>
      <c r="D33" s="1">
        <v>1.8000000000000001E-4</v>
      </c>
      <c r="E33" s="1">
        <v>2.3E-6</v>
      </c>
      <c r="F33" s="1">
        <v>1.8000000000000001E-4</v>
      </c>
      <c r="G33" s="1">
        <v>2.3E-6</v>
      </c>
      <c r="H33" s="1" t="s">
        <v>77</v>
      </c>
      <c r="I33" s="1" t="s">
        <v>77</v>
      </c>
      <c r="J33" s="1">
        <v>2.3E-6</v>
      </c>
      <c r="K33" s="1">
        <v>2.3E-6</v>
      </c>
      <c r="L33" s="1">
        <v>2.3E-6</v>
      </c>
      <c r="M33" s="1">
        <v>5.8999999999999998E-5</v>
      </c>
    </row>
    <row r="34" spans="2:13" x14ac:dyDescent="0.2">
      <c r="B34">
        <f t="shared" si="0"/>
        <v>26</v>
      </c>
      <c r="C34" s="8" t="s">
        <v>39</v>
      </c>
      <c r="D34" s="1">
        <v>7.2999999999999996E-4</v>
      </c>
      <c r="E34" s="1">
        <v>1.9999999999999999E-7</v>
      </c>
      <c r="F34" s="1">
        <v>7.2999999999999996E-4</v>
      </c>
      <c r="G34" s="1">
        <v>1.9999999999999999E-7</v>
      </c>
      <c r="H34" s="1" t="s">
        <v>77</v>
      </c>
      <c r="I34" s="1" t="s">
        <v>77</v>
      </c>
      <c r="J34" s="1">
        <v>7.3E-7</v>
      </c>
      <c r="K34" s="1">
        <v>7.3E-7</v>
      </c>
      <c r="L34" s="1">
        <v>7.3E-7</v>
      </c>
      <c r="M34" s="1">
        <v>2.8000000000000002E-7</v>
      </c>
    </row>
    <row r="35" spans="2:13" x14ac:dyDescent="0.2">
      <c r="B35">
        <f t="shared" si="0"/>
        <v>27</v>
      </c>
      <c r="C35" s="8" t="s">
        <v>40</v>
      </c>
      <c r="D35" s="1" t="s">
        <v>77</v>
      </c>
      <c r="E35" s="1">
        <v>1.4E-5</v>
      </c>
      <c r="F35" s="1" t="s">
        <v>77</v>
      </c>
      <c r="G35" s="1">
        <v>1.4E-5</v>
      </c>
      <c r="H35" s="1" t="s">
        <v>77</v>
      </c>
      <c r="I35" s="1" t="s">
        <v>77</v>
      </c>
      <c r="J35" s="1">
        <v>4.4999999999999999E-8</v>
      </c>
      <c r="K35" s="1">
        <v>4.3999999999999997E-8</v>
      </c>
      <c r="L35" s="1">
        <v>4.4999999999999999E-8</v>
      </c>
      <c r="M35" s="1">
        <v>0</v>
      </c>
    </row>
    <row r="36" spans="2:13" x14ac:dyDescent="0.2">
      <c r="B36">
        <f t="shared" si="0"/>
        <v>28</v>
      </c>
      <c r="C36" s="8" t="s">
        <v>41</v>
      </c>
      <c r="D36" s="1" t="s">
        <v>77</v>
      </c>
      <c r="E36" s="1">
        <v>2.9999999999999997E-8</v>
      </c>
      <c r="F36" s="1" t="s">
        <v>77</v>
      </c>
      <c r="G36" s="1">
        <v>2.9999999999999997E-8</v>
      </c>
      <c r="H36" s="1" t="s">
        <v>77</v>
      </c>
      <c r="I36" s="1" t="s">
        <v>77</v>
      </c>
      <c r="J36" s="1">
        <v>2.9999999999999997E-8</v>
      </c>
      <c r="K36" s="1">
        <v>2.9999999999999997E-8</v>
      </c>
      <c r="L36" s="1">
        <v>2.9999999999999997E-8</v>
      </c>
      <c r="M36" s="1" t="s">
        <v>77</v>
      </c>
    </row>
    <row r="37" spans="2:13" x14ac:dyDescent="0.2">
      <c r="B37">
        <f t="shared" si="0"/>
        <v>29</v>
      </c>
      <c r="C37" s="8" t="s">
        <v>47</v>
      </c>
      <c r="D37" s="1" t="s">
        <v>77</v>
      </c>
      <c r="E37" s="1" t="s">
        <v>77</v>
      </c>
      <c r="F37" s="1" t="s">
        <v>77</v>
      </c>
      <c r="G37" s="1" t="s">
        <v>77</v>
      </c>
      <c r="H37" s="1" t="s">
        <v>77</v>
      </c>
      <c r="I37" s="1" t="s">
        <v>77</v>
      </c>
      <c r="J37" s="1">
        <v>1.4E-11</v>
      </c>
      <c r="K37" s="1">
        <v>1.3E-11</v>
      </c>
      <c r="L37" s="1">
        <v>1.4E-11</v>
      </c>
      <c r="M37" s="1">
        <v>4.9999999999999997E-12</v>
      </c>
    </row>
    <row r="38" spans="2:13" x14ac:dyDescent="0.2">
      <c r="B38">
        <f t="shared" si="0"/>
        <v>30</v>
      </c>
      <c r="C38" s="8" t="s">
        <v>42</v>
      </c>
      <c r="D38" s="1" t="s">
        <v>77</v>
      </c>
      <c r="E38" s="1" t="s">
        <v>77</v>
      </c>
      <c r="F38" s="1" t="s">
        <v>77</v>
      </c>
      <c r="G38" s="1" t="s">
        <v>77</v>
      </c>
      <c r="H38" s="1" t="s">
        <v>77</v>
      </c>
      <c r="I38" s="1" t="s">
        <v>77</v>
      </c>
      <c r="J38" s="1">
        <v>6.6E-4</v>
      </c>
      <c r="K38" s="1">
        <v>5.8999999999999998E-5</v>
      </c>
      <c r="L38" s="1" t="s">
        <v>77</v>
      </c>
      <c r="M38" s="1">
        <v>5.1E-5</v>
      </c>
    </row>
    <row r="39" spans="2:13" x14ac:dyDescent="0.2">
      <c r="B39">
        <f t="shared" si="0"/>
        <v>31</v>
      </c>
      <c r="C39" s="8" t="s">
        <v>43</v>
      </c>
      <c r="D39" s="1" t="s">
        <v>77</v>
      </c>
      <c r="E39" s="1" t="s">
        <v>77</v>
      </c>
      <c r="F39" s="1" t="s">
        <v>77</v>
      </c>
      <c r="G39" s="1" t="s">
        <v>77</v>
      </c>
      <c r="H39" s="1" t="s">
        <v>77</v>
      </c>
      <c r="I39" s="1" t="s">
        <v>77</v>
      </c>
      <c r="J39" s="1">
        <v>5.0999999999999997E-2</v>
      </c>
      <c r="K39" s="1">
        <v>6.6E-4</v>
      </c>
      <c r="L39" s="1" t="s">
        <v>77</v>
      </c>
      <c r="M39" s="1">
        <v>2.2000000000000001E-3</v>
      </c>
    </row>
    <row r="40" spans="2:13" x14ac:dyDescent="0.2">
      <c r="B40">
        <f t="shared" si="0"/>
        <v>32</v>
      </c>
      <c r="C40" s="8" t="s">
        <v>44</v>
      </c>
      <c r="D40" s="1" t="s">
        <v>77</v>
      </c>
      <c r="E40" s="1" t="s">
        <v>77</v>
      </c>
      <c r="F40" s="1" t="s">
        <v>77</v>
      </c>
      <c r="G40" s="1" t="s">
        <v>77</v>
      </c>
      <c r="H40" s="1" t="s">
        <v>77</v>
      </c>
      <c r="I40" s="1" t="s">
        <v>77</v>
      </c>
      <c r="J40" s="1">
        <v>17</v>
      </c>
      <c r="K40" s="1">
        <v>2.7</v>
      </c>
      <c r="L40" s="1" t="s">
        <v>77</v>
      </c>
      <c r="M40" s="1">
        <v>0.42</v>
      </c>
    </row>
    <row r="41" spans="2:13" x14ac:dyDescent="0.2">
      <c r="B41">
        <f t="shared" si="0"/>
        <v>33</v>
      </c>
      <c r="C41" s="8" t="s">
        <v>45</v>
      </c>
      <c r="D41" s="1" t="s">
        <v>77</v>
      </c>
      <c r="E41" s="1" t="s">
        <v>77</v>
      </c>
      <c r="F41" s="1" t="s">
        <v>77</v>
      </c>
      <c r="G41" s="1" t="s">
        <v>77</v>
      </c>
      <c r="H41" s="1" t="s">
        <v>77</v>
      </c>
      <c r="I41" s="1" t="s">
        <v>77</v>
      </c>
      <c r="J41" s="1">
        <v>2.6</v>
      </c>
      <c r="K41" s="1">
        <v>0.4</v>
      </c>
      <c r="L41" s="1" t="s">
        <v>77</v>
      </c>
      <c r="M41" s="1">
        <v>0.32</v>
      </c>
    </row>
    <row r="42" spans="2:13" x14ac:dyDescent="0.2">
      <c r="B42">
        <f t="shared" si="0"/>
        <v>34</v>
      </c>
      <c r="C42" s="8" t="s">
        <v>46</v>
      </c>
      <c r="D42" s="1" t="s">
        <v>77</v>
      </c>
      <c r="E42" s="1" t="s">
        <v>77</v>
      </c>
      <c r="F42" s="1" t="s">
        <v>77</v>
      </c>
      <c r="G42" s="1" t="s">
        <v>77</v>
      </c>
      <c r="H42" s="1" t="s">
        <v>77</v>
      </c>
      <c r="I42" s="1" t="s">
        <v>77</v>
      </c>
      <c r="J42" s="1">
        <v>2.6</v>
      </c>
      <c r="K42" s="1">
        <v>0.4</v>
      </c>
      <c r="L42" s="1" t="s">
        <v>77</v>
      </c>
      <c r="M42" s="1">
        <v>6.3E-2</v>
      </c>
    </row>
    <row r="43" spans="2:13" x14ac:dyDescent="0.2">
      <c r="B43">
        <f t="shared" si="0"/>
        <v>35</v>
      </c>
      <c r="C43" s="8" t="s">
        <v>48</v>
      </c>
      <c r="D43" s="1" t="s">
        <v>77</v>
      </c>
      <c r="E43" s="1" t="s">
        <v>77</v>
      </c>
      <c r="F43" s="1" t="s">
        <v>77</v>
      </c>
      <c r="G43" s="1" t="s">
        <v>77</v>
      </c>
      <c r="H43" s="1" t="s">
        <v>77</v>
      </c>
      <c r="I43" s="1" t="s">
        <v>77</v>
      </c>
      <c r="J43" s="1">
        <v>9.1000000000000004E-3</v>
      </c>
      <c r="K43" s="1">
        <v>1.1E-4</v>
      </c>
      <c r="L43" s="1" t="s">
        <v>77</v>
      </c>
      <c r="M43" s="1">
        <v>1.1E-4</v>
      </c>
    </row>
    <row r="44" spans="2:13" x14ac:dyDescent="0.2">
      <c r="B44">
        <f t="shared" si="0"/>
        <v>36</v>
      </c>
      <c r="C44" s="8" t="s">
        <v>49</v>
      </c>
      <c r="D44" s="1" t="s">
        <v>77</v>
      </c>
      <c r="E44" s="1" t="s">
        <v>77</v>
      </c>
      <c r="F44" s="1" t="s">
        <v>77</v>
      </c>
      <c r="G44" s="1" t="s">
        <v>77</v>
      </c>
      <c r="H44" s="1" t="s">
        <v>77</v>
      </c>
      <c r="I44" s="1" t="s">
        <v>77</v>
      </c>
      <c r="J44" s="1">
        <v>7.7000000000000004E-7</v>
      </c>
      <c r="K44" s="1">
        <v>7.1999999999999999E-7</v>
      </c>
      <c r="L44" s="1" t="s">
        <v>77</v>
      </c>
      <c r="M44" s="1">
        <v>2.8000000000000002E-7</v>
      </c>
    </row>
    <row r="45" spans="2:13" x14ac:dyDescent="0.2">
      <c r="B45">
        <f t="shared" si="0"/>
        <v>37</v>
      </c>
      <c r="C45" s="8" t="s">
        <v>50</v>
      </c>
      <c r="D45" s="1" t="s">
        <v>77</v>
      </c>
      <c r="E45" s="1" t="s">
        <v>77</v>
      </c>
      <c r="F45" s="1" t="s">
        <v>77</v>
      </c>
      <c r="G45" s="1" t="s">
        <v>77</v>
      </c>
      <c r="H45" s="1" t="s">
        <v>77</v>
      </c>
      <c r="I45" s="1" t="s">
        <v>77</v>
      </c>
      <c r="J45" s="1">
        <v>4.4000000000000003E-3</v>
      </c>
      <c r="K45" s="1">
        <v>2.5000000000000001E-4</v>
      </c>
      <c r="L45" s="1" t="s">
        <v>77</v>
      </c>
      <c r="M45" s="1">
        <v>2.3000000000000001E-4</v>
      </c>
    </row>
    <row r="46" spans="2:13" x14ac:dyDescent="0.2">
      <c r="B46">
        <f t="shared" si="0"/>
        <v>38</v>
      </c>
      <c r="C46" s="8" t="s">
        <v>51</v>
      </c>
      <c r="D46" s="1" t="s">
        <v>77</v>
      </c>
      <c r="E46" s="1" t="s">
        <v>77</v>
      </c>
      <c r="F46" s="1" t="s">
        <v>77</v>
      </c>
      <c r="G46" s="1" t="s">
        <v>77</v>
      </c>
      <c r="H46" s="1" t="s">
        <v>77</v>
      </c>
      <c r="I46" s="1" t="s">
        <v>77</v>
      </c>
      <c r="J46" s="1">
        <v>0.47</v>
      </c>
      <c r="K46" s="1">
        <v>5.7000000000000002E-3</v>
      </c>
      <c r="L46" s="1" t="s">
        <v>77</v>
      </c>
      <c r="M46" s="1">
        <v>5.7000000000000002E-3</v>
      </c>
    </row>
    <row r="47" spans="2:13" x14ac:dyDescent="0.2">
      <c r="B47">
        <f t="shared" si="0"/>
        <v>39</v>
      </c>
      <c r="C47" s="22" t="s">
        <v>110</v>
      </c>
      <c r="D47" s="1" t="s">
        <v>77</v>
      </c>
      <c r="E47" s="1" t="s">
        <v>77</v>
      </c>
      <c r="F47" s="1" t="s">
        <v>77</v>
      </c>
      <c r="G47" s="1" t="s">
        <v>77</v>
      </c>
      <c r="H47" s="1" t="s">
        <v>77</v>
      </c>
      <c r="I47" s="1" t="s">
        <v>77</v>
      </c>
      <c r="J47" s="1">
        <v>1.4E-2</v>
      </c>
      <c r="K47" s="1">
        <v>4.3E-3</v>
      </c>
      <c r="L47" s="1" t="s">
        <v>77</v>
      </c>
      <c r="M47" s="1">
        <v>4.3E-3</v>
      </c>
    </row>
    <row r="48" spans="2:13" x14ac:dyDescent="0.2">
      <c r="B48">
        <f t="shared" si="0"/>
        <v>40</v>
      </c>
      <c r="C48" s="22" t="s">
        <v>113</v>
      </c>
      <c r="D48" s="1" t="s">
        <v>77</v>
      </c>
      <c r="E48" s="1" t="s">
        <v>77</v>
      </c>
      <c r="F48" s="1" t="s">
        <v>77</v>
      </c>
      <c r="G48" s="1" t="s">
        <v>77</v>
      </c>
      <c r="H48" s="1" t="s">
        <v>77</v>
      </c>
      <c r="I48" s="1" t="s">
        <v>77</v>
      </c>
      <c r="J48" s="1">
        <v>9.9000000000000005E-2</v>
      </c>
      <c r="K48" s="1">
        <v>3.4999999999999997E-5</v>
      </c>
      <c r="L48" s="1" t="s">
        <v>77</v>
      </c>
      <c r="M48" s="1">
        <v>3.8000000000000002E-4</v>
      </c>
    </row>
    <row r="49" spans="2:13" x14ac:dyDescent="0.2">
      <c r="B49">
        <f t="shared" si="0"/>
        <v>41</v>
      </c>
      <c r="C49" s="22" t="s">
        <v>114</v>
      </c>
      <c r="D49" s="1" t="s">
        <v>77</v>
      </c>
      <c r="E49" s="1" t="s">
        <v>77</v>
      </c>
      <c r="F49" s="1" t="s">
        <v>77</v>
      </c>
      <c r="G49" s="1" t="s">
        <v>77</v>
      </c>
      <c r="H49" s="1" t="s">
        <v>77</v>
      </c>
      <c r="I49" s="1" t="s">
        <v>77</v>
      </c>
      <c r="J49" s="1" t="s">
        <v>77</v>
      </c>
      <c r="K49" s="1">
        <v>12</v>
      </c>
      <c r="L49" s="1" t="s">
        <v>77</v>
      </c>
      <c r="M49" s="1" t="s">
        <v>77</v>
      </c>
    </row>
    <row r="50" spans="2:13" x14ac:dyDescent="0.2">
      <c r="B50">
        <f t="shared" si="0"/>
        <v>42</v>
      </c>
      <c r="C50" s="22" t="s">
        <v>115</v>
      </c>
      <c r="D50" s="1" t="s">
        <v>77</v>
      </c>
      <c r="E50" s="1" t="s">
        <v>77</v>
      </c>
      <c r="F50" s="1" t="s">
        <v>77</v>
      </c>
      <c r="G50" s="1" t="s">
        <v>77</v>
      </c>
      <c r="H50" s="1" t="s">
        <v>77</v>
      </c>
      <c r="I50" s="1" t="s">
        <v>77</v>
      </c>
      <c r="J50" s="1">
        <v>1.0999999999999999E-2</v>
      </c>
      <c r="K50" s="1">
        <v>1.7000000000000001E-4</v>
      </c>
      <c r="L50" s="1" t="s">
        <v>77</v>
      </c>
      <c r="M50" s="1">
        <v>1.7000000000000001E-4</v>
      </c>
    </row>
    <row r="51" spans="2:13" x14ac:dyDescent="0.2">
      <c r="B51">
        <f t="shared" si="0"/>
        <v>43</v>
      </c>
      <c r="C51" s="22" t="s">
        <v>116</v>
      </c>
      <c r="D51" s="1" t="s">
        <v>77</v>
      </c>
      <c r="E51" s="1" t="s">
        <v>77</v>
      </c>
      <c r="F51" s="1" t="s">
        <v>77</v>
      </c>
      <c r="G51" s="1" t="s">
        <v>77</v>
      </c>
      <c r="H51" s="1" t="s">
        <v>77</v>
      </c>
      <c r="I51" s="1" t="s">
        <v>77</v>
      </c>
      <c r="J51" s="1">
        <v>3.2000000000000002E-3</v>
      </c>
      <c r="K51" s="1">
        <v>3.0000000000000001E-5</v>
      </c>
      <c r="L51" s="1" t="s">
        <v>77</v>
      </c>
      <c r="M51" s="1">
        <v>0.33</v>
      </c>
    </row>
    <row r="52" spans="2:13" x14ac:dyDescent="0.2">
      <c r="B52">
        <f t="shared" si="0"/>
        <v>44</v>
      </c>
      <c r="C52" s="8" t="s">
        <v>52</v>
      </c>
      <c r="D52" s="1" t="s">
        <v>77</v>
      </c>
      <c r="E52" s="1" t="s">
        <v>77</v>
      </c>
      <c r="F52" s="1" t="s">
        <v>77</v>
      </c>
      <c r="G52" s="1" t="s">
        <v>77</v>
      </c>
      <c r="H52" s="1" t="s">
        <v>77</v>
      </c>
      <c r="I52" s="1" t="s">
        <v>77</v>
      </c>
      <c r="J52" s="1">
        <v>8.1000000000000003E-2</v>
      </c>
      <c r="K52" s="1">
        <v>2.7000000000000001E-3</v>
      </c>
      <c r="L52" s="1" t="s">
        <v>77</v>
      </c>
      <c r="M52" s="1">
        <v>2.5000000000000001E-3</v>
      </c>
    </row>
    <row r="53" spans="2:13" x14ac:dyDescent="0.2">
      <c r="B53">
        <f t="shared" si="0"/>
        <v>45</v>
      </c>
      <c r="C53" s="8" t="s">
        <v>53</v>
      </c>
      <c r="D53" s="1" t="s">
        <v>77</v>
      </c>
      <c r="E53" s="1" t="s">
        <v>77</v>
      </c>
      <c r="F53" s="1" t="s">
        <v>77</v>
      </c>
      <c r="G53" s="1" t="s">
        <v>77</v>
      </c>
      <c r="H53" s="1" t="s">
        <v>77</v>
      </c>
      <c r="I53" s="1" t="s">
        <v>77</v>
      </c>
      <c r="J53" s="1">
        <v>200</v>
      </c>
      <c r="K53" s="1">
        <v>6.8</v>
      </c>
      <c r="L53" s="1" t="s">
        <v>77</v>
      </c>
      <c r="M53" s="1">
        <v>1.3</v>
      </c>
    </row>
    <row r="54" spans="2:13" x14ac:dyDescent="0.2">
      <c r="B54">
        <f t="shared" si="0"/>
        <v>46</v>
      </c>
      <c r="C54" s="22" t="s">
        <v>109</v>
      </c>
      <c r="D54" s="1" t="s">
        <v>77</v>
      </c>
      <c r="E54" s="1" t="s">
        <v>77</v>
      </c>
      <c r="F54" s="1" t="s">
        <v>77</v>
      </c>
      <c r="G54" s="1" t="s">
        <v>77</v>
      </c>
      <c r="H54" s="21" t="s">
        <v>77</v>
      </c>
      <c r="I54" s="1" t="s">
        <v>77</v>
      </c>
      <c r="J54" s="1">
        <v>1.6</v>
      </c>
      <c r="K54" s="1">
        <v>1</v>
      </c>
      <c r="L54" s="1" t="s">
        <v>77</v>
      </c>
      <c r="M54" s="1">
        <v>1</v>
      </c>
    </row>
    <row r="55" spans="2:13" x14ac:dyDescent="0.2">
      <c r="B55">
        <f t="shared" si="0"/>
        <v>47</v>
      </c>
      <c r="C55" s="22" t="s">
        <v>117</v>
      </c>
      <c r="D55" s="1" t="s">
        <v>77</v>
      </c>
      <c r="E55" s="1">
        <v>3.0000000000000001E-3</v>
      </c>
      <c r="F55" s="1" t="s">
        <v>77</v>
      </c>
      <c r="G55" s="1">
        <v>3.0000000000000001E-3</v>
      </c>
      <c r="H55" s="1" t="s">
        <v>77</v>
      </c>
      <c r="I55" s="1" t="s">
        <v>77</v>
      </c>
      <c r="J55" s="1" t="s">
        <v>77</v>
      </c>
      <c r="K55" s="1" t="s">
        <v>77</v>
      </c>
      <c r="L55" s="1" t="s">
        <v>77</v>
      </c>
      <c r="M55" s="1" t="s">
        <v>77</v>
      </c>
    </row>
    <row r="56" spans="2:13" x14ac:dyDescent="0.2">
      <c r="B56">
        <f t="shared" si="0"/>
        <v>48</v>
      </c>
      <c r="C56" s="8" t="s">
        <v>54</v>
      </c>
      <c r="D56" s="1" t="s">
        <v>77</v>
      </c>
      <c r="E56" s="1" t="s">
        <v>77</v>
      </c>
      <c r="F56" s="1" t="s">
        <v>77</v>
      </c>
      <c r="G56" s="1" t="s">
        <v>77</v>
      </c>
      <c r="H56" s="1" t="s">
        <v>77</v>
      </c>
      <c r="I56" s="1" t="s">
        <v>77</v>
      </c>
      <c r="J56" s="1">
        <v>0.52500000000000002</v>
      </c>
      <c r="K56" s="1">
        <v>2E-3</v>
      </c>
      <c r="L56" s="1" t="s">
        <v>77</v>
      </c>
      <c r="M56" s="1">
        <v>2E-3</v>
      </c>
    </row>
    <row r="57" spans="2:13" x14ac:dyDescent="0.2">
      <c r="B57">
        <f t="shared" si="0"/>
        <v>49</v>
      </c>
      <c r="C57" s="8" t="s">
        <v>55</v>
      </c>
      <c r="D57" s="1" t="s">
        <v>77</v>
      </c>
      <c r="E57" s="1" t="s">
        <v>77</v>
      </c>
      <c r="F57" s="1" t="s">
        <v>77</v>
      </c>
      <c r="G57" s="1" t="s">
        <v>77</v>
      </c>
      <c r="H57" s="1" t="s">
        <v>77</v>
      </c>
      <c r="I57" s="1" t="s">
        <v>77</v>
      </c>
      <c r="J57" s="1">
        <v>21</v>
      </c>
      <c r="K57" s="1">
        <v>0.68</v>
      </c>
      <c r="L57" s="1" t="s">
        <v>77</v>
      </c>
      <c r="M57" s="1">
        <v>0.13</v>
      </c>
    </row>
    <row r="58" spans="2:13" x14ac:dyDescent="0.2">
      <c r="B58">
        <f t="shared" si="0"/>
        <v>50</v>
      </c>
      <c r="C58" s="8" t="s">
        <v>56</v>
      </c>
      <c r="D58" s="1" t="s">
        <v>77</v>
      </c>
      <c r="E58" s="1" t="s">
        <v>77</v>
      </c>
      <c r="F58" s="1" t="s">
        <v>77</v>
      </c>
      <c r="G58" s="1" t="s">
        <v>77</v>
      </c>
      <c r="H58" s="1" t="s">
        <v>77</v>
      </c>
      <c r="I58" s="1" t="s">
        <v>77</v>
      </c>
      <c r="J58" s="1">
        <v>29</v>
      </c>
      <c r="K58" s="1">
        <v>3.1</v>
      </c>
      <c r="L58" s="1" t="s">
        <v>77</v>
      </c>
      <c r="M58" s="1">
        <v>0.53</v>
      </c>
    </row>
    <row r="59" spans="2:13" x14ac:dyDescent="0.2">
      <c r="B59">
        <f t="shared" si="0"/>
        <v>51</v>
      </c>
      <c r="C59" s="8" t="s">
        <v>57</v>
      </c>
      <c r="D59" s="1">
        <v>5.1999999999999995E-4</v>
      </c>
      <c r="E59" s="1">
        <v>3.8E-6</v>
      </c>
      <c r="F59" s="1">
        <v>5.1999999999999995E-4</v>
      </c>
      <c r="G59" s="1">
        <v>3.8E-6</v>
      </c>
      <c r="H59" s="1" t="s">
        <v>77</v>
      </c>
      <c r="I59" s="1" t="s">
        <v>77</v>
      </c>
      <c r="J59" s="1">
        <v>2.1E-7</v>
      </c>
      <c r="K59" s="1">
        <v>2.1E-7</v>
      </c>
      <c r="L59" s="1" t="s">
        <v>77</v>
      </c>
      <c r="M59" s="1">
        <v>7.9000000000000006E-8</v>
      </c>
    </row>
    <row r="60" spans="2:13" x14ac:dyDescent="0.2">
      <c r="B60">
        <f t="shared" si="0"/>
        <v>52</v>
      </c>
      <c r="C60" s="22" t="s">
        <v>118</v>
      </c>
      <c r="D60" s="1" t="s">
        <v>77</v>
      </c>
      <c r="E60" s="1" t="s">
        <v>77</v>
      </c>
      <c r="F60" s="1" t="s">
        <v>77</v>
      </c>
      <c r="G60" s="1" t="s">
        <v>77</v>
      </c>
      <c r="H60" s="1" t="s">
        <v>77</v>
      </c>
      <c r="I60" s="1" t="s">
        <v>77</v>
      </c>
      <c r="J60" s="1">
        <v>0.76500000000000001</v>
      </c>
      <c r="K60" s="1">
        <v>1.34E-2</v>
      </c>
      <c r="L60" s="1" t="s">
        <v>77</v>
      </c>
      <c r="M60" s="1" t="s">
        <v>77</v>
      </c>
    </row>
    <row r="61" spans="2:13" x14ac:dyDescent="0.2">
      <c r="B61">
        <f t="shared" si="0"/>
        <v>53</v>
      </c>
      <c r="C61" s="8" t="s">
        <v>58</v>
      </c>
      <c r="D61" s="1" t="s">
        <v>77</v>
      </c>
      <c r="E61" s="1" t="s">
        <v>77</v>
      </c>
      <c r="F61" s="1" t="s">
        <v>77</v>
      </c>
      <c r="G61" s="1" t="s">
        <v>77</v>
      </c>
      <c r="H61" s="1" t="s">
        <v>77</v>
      </c>
      <c r="I61" s="1" t="s">
        <v>77</v>
      </c>
      <c r="J61" s="1">
        <v>0.37</v>
      </c>
      <c r="K61" s="1">
        <v>0.3</v>
      </c>
      <c r="L61" s="1" t="s">
        <v>77</v>
      </c>
      <c r="M61" s="1">
        <v>0.13</v>
      </c>
    </row>
    <row r="62" spans="2:13" x14ac:dyDescent="0.2">
      <c r="B62">
        <f t="shared" si="0"/>
        <v>54</v>
      </c>
      <c r="C62" s="8" t="s">
        <v>59</v>
      </c>
      <c r="D62" s="1" t="s">
        <v>77</v>
      </c>
      <c r="E62" s="1" t="s">
        <v>77</v>
      </c>
      <c r="F62" s="1" t="s">
        <v>77</v>
      </c>
      <c r="G62" s="1" t="s">
        <v>77</v>
      </c>
      <c r="H62" s="1" t="s">
        <v>77</v>
      </c>
      <c r="I62" s="1" t="s">
        <v>77</v>
      </c>
      <c r="J62" s="1">
        <v>4600</v>
      </c>
      <c r="K62" s="1">
        <v>21</v>
      </c>
      <c r="L62" s="1" t="s">
        <v>77</v>
      </c>
      <c r="M62" s="1">
        <v>21</v>
      </c>
    </row>
    <row r="63" spans="2:13" x14ac:dyDescent="0.2">
      <c r="B63">
        <f t="shared" si="0"/>
        <v>55</v>
      </c>
      <c r="C63" s="22" t="s">
        <v>112</v>
      </c>
      <c r="D63" s="1" t="s">
        <v>77</v>
      </c>
      <c r="E63" s="1" t="s">
        <v>77</v>
      </c>
      <c r="F63" s="1" t="s">
        <v>77</v>
      </c>
      <c r="G63" s="1" t="s">
        <v>77</v>
      </c>
      <c r="H63" s="1" t="s">
        <v>77</v>
      </c>
      <c r="I63" s="1" t="s">
        <v>77</v>
      </c>
      <c r="J63" s="1">
        <v>0.4</v>
      </c>
      <c r="K63" s="1">
        <v>0.12</v>
      </c>
      <c r="L63" s="1" t="s">
        <v>77</v>
      </c>
      <c r="M63" s="1">
        <v>8.1000000000000003E-2</v>
      </c>
    </row>
    <row r="64" spans="2:13" x14ac:dyDescent="0.2">
      <c r="B64">
        <f t="shared" si="0"/>
        <v>56</v>
      </c>
      <c r="C64" s="8" t="s">
        <v>60</v>
      </c>
      <c r="D64" s="1" t="s">
        <v>77</v>
      </c>
      <c r="E64" s="1" t="s">
        <v>77</v>
      </c>
      <c r="F64" s="1" t="s">
        <v>77</v>
      </c>
      <c r="G64" s="1" t="s">
        <v>77</v>
      </c>
      <c r="H64" s="1" t="s">
        <v>77</v>
      </c>
      <c r="I64" s="1" t="s">
        <v>77</v>
      </c>
      <c r="J64" s="1">
        <v>0.79</v>
      </c>
      <c r="K64" s="1">
        <v>9.2999999999999999E-2</v>
      </c>
      <c r="L64" s="1" t="s">
        <v>77</v>
      </c>
      <c r="M64" s="1">
        <v>7.6999999999999999E-2</v>
      </c>
    </row>
    <row r="65" spans="2:13" x14ac:dyDescent="0.2">
      <c r="B65">
        <f t="shared" si="0"/>
        <v>57</v>
      </c>
      <c r="C65" s="8" t="s">
        <v>61</v>
      </c>
      <c r="D65" s="1" t="s">
        <v>77</v>
      </c>
      <c r="E65" s="1" t="s">
        <v>77</v>
      </c>
      <c r="F65" s="1" t="s">
        <v>77</v>
      </c>
      <c r="G65" s="1" t="s">
        <v>77</v>
      </c>
      <c r="H65" s="1" t="s">
        <v>77</v>
      </c>
      <c r="I65" s="1" t="s">
        <v>77</v>
      </c>
      <c r="J65" s="1">
        <v>2.2999999999999998</v>
      </c>
      <c r="K65" s="1">
        <v>0.54</v>
      </c>
      <c r="L65" s="1" t="s">
        <v>77</v>
      </c>
      <c r="M65" s="1">
        <v>0.38</v>
      </c>
    </row>
    <row r="66" spans="2:13" x14ac:dyDescent="0.2">
      <c r="B66">
        <f t="shared" si="0"/>
        <v>58</v>
      </c>
      <c r="C66" s="8" t="s">
        <v>62</v>
      </c>
      <c r="D66" s="1" t="s">
        <v>77</v>
      </c>
      <c r="E66" s="1" t="s">
        <v>77</v>
      </c>
      <c r="F66" s="1" t="s">
        <v>77</v>
      </c>
      <c r="G66" s="1" t="s">
        <v>77</v>
      </c>
      <c r="H66" s="1" t="s">
        <v>77</v>
      </c>
      <c r="I66" s="1" t="s">
        <v>77</v>
      </c>
      <c r="J66" s="1">
        <v>14</v>
      </c>
      <c r="K66" s="1">
        <v>7.0000000000000007E-2</v>
      </c>
      <c r="L66" s="1" t="s">
        <v>77</v>
      </c>
      <c r="M66" s="1">
        <v>6.9000000000000006E-2</v>
      </c>
    </row>
    <row r="67" spans="2:13" x14ac:dyDescent="0.2">
      <c r="B67">
        <f t="shared" si="0"/>
        <v>59</v>
      </c>
      <c r="C67" s="8" t="s">
        <v>63</v>
      </c>
      <c r="D67" s="1" t="s">
        <v>77</v>
      </c>
      <c r="E67" s="1" t="s">
        <v>77</v>
      </c>
      <c r="F67" s="1" t="s">
        <v>77</v>
      </c>
      <c r="G67" s="1" t="s">
        <v>77</v>
      </c>
      <c r="H67" s="1" t="s">
        <v>77</v>
      </c>
      <c r="I67" s="1" t="s">
        <v>77</v>
      </c>
      <c r="J67" s="1">
        <v>8.2000000000000007E-3</v>
      </c>
      <c r="K67" s="1">
        <v>2.7999999999999998E-4</v>
      </c>
      <c r="L67" s="1" t="s">
        <v>77</v>
      </c>
      <c r="M67" s="1">
        <v>2.7E-4</v>
      </c>
    </row>
    <row r="68" spans="2:13" x14ac:dyDescent="0.2">
      <c r="B68">
        <f t="shared" si="0"/>
        <v>60</v>
      </c>
      <c r="C68" s="8" t="s">
        <v>64</v>
      </c>
      <c r="D68" s="1" t="s">
        <v>77</v>
      </c>
      <c r="E68" s="1" t="s">
        <v>77</v>
      </c>
      <c r="F68" s="1" t="s">
        <v>77</v>
      </c>
      <c r="G68" s="1" t="s">
        <v>77</v>
      </c>
      <c r="H68" s="1" t="s">
        <v>77</v>
      </c>
      <c r="I68" s="1" t="s">
        <v>77</v>
      </c>
      <c r="J68" s="1">
        <v>6.4999999999999997E-3</v>
      </c>
      <c r="K68" s="1">
        <v>2.0999999999999999E-3</v>
      </c>
      <c r="L68" s="1" t="s">
        <v>77</v>
      </c>
      <c r="M68" s="1">
        <v>1.4E-3</v>
      </c>
    </row>
    <row r="69" spans="2:13" x14ac:dyDescent="0.2">
      <c r="B69">
        <f t="shared" si="0"/>
        <v>61</v>
      </c>
      <c r="C69" s="8" t="s">
        <v>65</v>
      </c>
      <c r="D69" s="1">
        <v>0.02</v>
      </c>
      <c r="E69" s="1">
        <v>5.0000000000000001E-3</v>
      </c>
      <c r="F69" s="1">
        <v>0.02</v>
      </c>
      <c r="G69" s="1">
        <v>5.0000000000000001E-3</v>
      </c>
      <c r="H69" s="1">
        <v>0.02</v>
      </c>
      <c r="I69" s="1">
        <v>5.0000000000000001E-3</v>
      </c>
      <c r="J69" s="1" t="s">
        <v>77</v>
      </c>
      <c r="K69" s="1">
        <v>0.05</v>
      </c>
      <c r="L69" s="1" t="s">
        <v>77</v>
      </c>
      <c r="M69" s="1">
        <v>0.17</v>
      </c>
    </row>
    <row r="70" spans="2:13" x14ac:dyDescent="0.2">
      <c r="B70">
        <f t="shared" si="0"/>
        <v>62</v>
      </c>
      <c r="C70" s="8" t="s">
        <v>66</v>
      </c>
      <c r="D70" s="1" t="e">
        <f>(EXP(1.72*LN($A$1)-6.59)/1000)*0.85/(IF(Translator!C17=0,Translator!C31,Translator!E31))</f>
        <v>#NUM!</v>
      </c>
      <c r="E70" s="1">
        <f>IF(AND($A$1&gt;=0,$A$1&lt;=50),1,IF(AND($A$1&gt;=51,$A$1&lt;=100),4,IF(AND($A$1&gt;=101,$A$1&lt;=200),12,IF(AND($A$1&gt;=201,$A$1&lt;=400),24,IF(AND($A$1&gt;=401,$A$1&lt;=500),30,43)))))/1000</f>
        <v>1E-3</v>
      </c>
      <c r="F70" s="1" t="e">
        <f>(EXP(1.72*LN($A$1)-6.59)/1000)*0.85/(IF(Translator!C17=0,Translator!C31,Translator!E31))</f>
        <v>#NUM!</v>
      </c>
      <c r="G70" s="1">
        <f>IF(AND($A$1&gt;=0,$A$1&lt;=50),1,IF(AND($A$1&gt;=51,$A$1&lt;=100),4,IF(AND($A$1&gt;=101,$A$1&lt;=200),12,24)))/1000</f>
        <v>1E-3</v>
      </c>
      <c r="H70" s="1" t="e">
        <f>(EXP(1.72*LN($A$1)-6.59)/1000)*0.85/(IF(Translator!C17=0,Translator!C31,Translator!E31))</f>
        <v>#NUM!</v>
      </c>
      <c r="I70" s="1" t="s">
        <v>77</v>
      </c>
      <c r="J70" s="1" t="s">
        <v>77</v>
      </c>
      <c r="K70" s="1">
        <f>IF(AND($A$1&gt;=0,$A$1&lt;=50),1,IF(AND($A$1&gt;=51,$A$1&lt;=100),4,IF(AND($A$1&gt;=101,$A$1&lt;=200),12,24)))/1000</f>
        <v>1E-3</v>
      </c>
      <c r="L70" s="1" t="s">
        <v>77</v>
      </c>
      <c r="M70" s="1">
        <v>0.05</v>
      </c>
    </row>
    <row r="71" spans="2:13" x14ac:dyDescent="0.2">
      <c r="B71">
        <f t="shared" si="0"/>
        <v>63</v>
      </c>
      <c r="C71" s="8" t="s">
        <v>67</v>
      </c>
      <c r="D71" s="1" t="s">
        <v>77</v>
      </c>
      <c r="E71" s="1" t="s">
        <v>77</v>
      </c>
      <c r="F71" s="1" t="s">
        <v>77</v>
      </c>
      <c r="G71" s="1" t="s">
        <v>77</v>
      </c>
      <c r="H71" s="1" t="s">
        <v>77</v>
      </c>
      <c r="I71" s="1" t="s">
        <v>77</v>
      </c>
      <c r="J71" s="1">
        <v>6.3E-3</v>
      </c>
      <c r="K71" s="1">
        <v>1.6999999999999999E-3</v>
      </c>
      <c r="L71" s="1" t="s">
        <v>77</v>
      </c>
      <c r="M71" s="1">
        <v>2.4000000000000001E-4</v>
      </c>
    </row>
    <row r="72" spans="2:13" x14ac:dyDescent="0.2">
      <c r="B72">
        <f t="shared" si="0"/>
        <v>64</v>
      </c>
      <c r="C72" s="8" t="s">
        <v>68</v>
      </c>
      <c r="D72" s="1">
        <v>1.9E-2</v>
      </c>
      <c r="E72" s="1">
        <v>1.0999999999999999E-2</v>
      </c>
      <c r="F72" s="1">
        <v>0</v>
      </c>
      <c r="G72" s="1">
        <v>0</v>
      </c>
      <c r="H72" s="1" t="s">
        <v>77</v>
      </c>
      <c r="I72" s="1" t="s">
        <v>77</v>
      </c>
      <c r="J72" s="1" t="s">
        <v>77</v>
      </c>
      <c r="K72" s="1" t="s">
        <v>77</v>
      </c>
      <c r="L72" s="1" t="s">
        <v>77</v>
      </c>
      <c r="M72" s="1" t="s">
        <v>77</v>
      </c>
    </row>
    <row r="73" spans="2:13" x14ac:dyDescent="0.2">
      <c r="B73">
        <f t="shared" si="0"/>
        <v>65</v>
      </c>
      <c r="C73" s="8" t="s">
        <v>69</v>
      </c>
      <c r="D73" s="1">
        <f>(EXP(0.8473*LN($B$1)+0.884)/1000)*0.978/(IF(Translator!C18=0,Translator!C32,Translator!E32))</f>
        <v>3.7016119739777302E-2</v>
      </c>
      <c r="E73" s="1">
        <f>(EXP(0.8473*LN($B$1)+0.884)/1000)*0.986/(IF(Translator!C18=0,Translator!D32,Translator!E32))</f>
        <v>3.7016119739777302E-2</v>
      </c>
      <c r="F73" s="1">
        <f>(EXP(0.8473*LN($B$1)+0.884)/1000)*0.978/(IF(Translator!C18=0,Translator!C32,Translator!E32))</f>
        <v>3.7016119739777302E-2</v>
      </c>
      <c r="G73" s="1">
        <f>(EXP(0.8473*LN($B$1)+0.884)/1000)*0.986/(IF(Translator!C18=0,Translator!D32,Translator!E32))</f>
        <v>3.7016119739777302E-2</v>
      </c>
      <c r="H73" s="1">
        <f>(EXP(0.8473*LN($B$1)+0.884)/1000)*0.978/(IF(Translator!C18=0,Translator!C32,Translator!E32))</f>
        <v>3.7016119739777302E-2</v>
      </c>
      <c r="I73" s="1">
        <f>(EXP(0.8473*LN($B$1)+0.884)/1000)*0.986/(IF(Translator!C18=0,Translator!D32,Translator!E32))</f>
        <v>3.7016119739777302E-2</v>
      </c>
      <c r="J73" s="1" t="s">
        <v>77</v>
      </c>
      <c r="K73" s="1" t="s">
        <v>77</v>
      </c>
      <c r="L73" s="1" t="s">
        <v>77</v>
      </c>
      <c r="M73" s="1">
        <v>7.4</v>
      </c>
    </row>
    <row r="74" spans="2:13" x14ac:dyDescent="0.2">
      <c r="B74">
        <f t="shared" si="0"/>
        <v>66</v>
      </c>
      <c r="C74" s="8" t="s">
        <v>72</v>
      </c>
      <c r="D74" s="1" t="s">
        <v>77</v>
      </c>
      <c r="E74" s="1" t="s">
        <v>77</v>
      </c>
      <c r="F74" s="1" t="s">
        <v>77</v>
      </c>
      <c r="G74" s="1" t="s">
        <v>77</v>
      </c>
      <c r="H74" s="1" t="s">
        <v>77</v>
      </c>
      <c r="I74" s="1" t="s">
        <v>77</v>
      </c>
      <c r="J74" s="1" t="s">
        <v>77</v>
      </c>
      <c r="K74" s="1" t="s">
        <v>77</v>
      </c>
      <c r="L74" s="1" t="s">
        <v>77</v>
      </c>
      <c r="M74" s="1">
        <v>250</v>
      </c>
    </row>
    <row r="75" spans="2:13" x14ac:dyDescent="0.2">
      <c r="B75">
        <f>+B74+1</f>
        <v>67</v>
      </c>
      <c r="C75" s="8" t="s">
        <v>73</v>
      </c>
      <c r="D75" s="1" t="s">
        <v>77</v>
      </c>
      <c r="E75" s="1" t="s">
        <v>77</v>
      </c>
      <c r="F75" s="1" t="s">
        <v>77</v>
      </c>
      <c r="G75" s="1" t="s">
        <v>77</v>
      </c>
      <c r="H75" s="1" t="s">
        <v>77</v>
      </c>
      <c r="I75" s="1" t="s">
        <v>77</v>
      </c>
      <c r="J75" s="1" t="s">
        <v>77</v>
      </c>
      <c r="K75" s="1" t="s">
        <v>77</v>
      </c>
      <c r="L75" s="1" t="s">
        <v>77</v>
      </c>
      <c r="M75" s="1">
        <v>8.6000000000000003E-5</v>
      </c>
    </row>
    <row r="76" spans="2:13" x14ac:dyDescent="0.2">
      <c r="B76">
        <f>+B75+1</f>
        <v>68</v>
      </c>
      <c r="C76" s="8" t="s">
        <v>78</v>
      </c>
      <c r="D76" s="1" t="s">
        <v>77</v>
      </c>
      <c r="E76" s="1" t="s">
        <v>77</v>
      </c>
      <c r="F76" s="1" t="s">
        <v>77</v>
      </c>
      <c r="G76" s="1" t="s">
        <v>77</v>
      </c>
      <c r="H76" s="1" t="s">
        <v>77</v>
      </c>
      <c r="I76" s="1" t="s">
        <v>77</v>
      </c>
      <c r="J76" s="1">
        <v>8.8500000000000002E-3</v>
      </c>
      <c r="K76" s="1">
        <v>8.0000000000000004E-4</v>
      </c>
      <c r="L76" s="1" t="s">
        <v>77</v>
      </c>
      <c r="M76" s="1">
        <v>6.8999999999999997E-4</v>
      </c>
    </row>
    <row r="77" spans="2:13" x14ac:dyDescent="0.2">
      <c r="B77">
        <f>+B76+1</f>
        <v>69</v>
      </c>
      <c r="C77" s="8" t="s">
        <v>79</v>
      </c>
      <c r="D77" s="1" t="s">
        <v>77</v>
      </c>
      <c r="E77" s="1" t="s">
        <v>77</v>
      </c>
      <c r="F77" s="1" t="s">
        <v>77</v>
      </c>
      <c r="G77" s="1" t="s">
        <v>77</v>
      </c>
      <c r="H77" s="1" t="s">
        <v>77</v>
      </c>
      <c r="I77" s="1" t="s">
        <v>77</v>
      </c>
      <c r="J77" s="1">
        <v>1.2999999999999999E-5</v>
      </c>
      <c r="K77" s="1">
        <v>3.8999999999999999E-6</v>
      </c>
      <c r="L77" s="1" t="s">
        <v>77</v>
      </c>
      <c r="M77" s="1">
        <v>2.6000000000000001E-6</v>
      </c>
    </row>
    <row r="78" spans="2:13" x14ac:dyDescent="0.2">
      <c r="B78">
        <f>+B77+1</f>
        <v>70</v>
      </c>
      <c r="C78" s="8" t="s">
        <v>80</v>
      </c>
      <c r="D78" s="1" t="s">
        <v>77</v>
      </c>
      <c r="E78" s="1" t="s">
        <v>77</v>
      </c>
      <c r="F78" s="1" t="s">
        <v>77</v>
      </c>
      <c r="G78" s="1" t="s">
        <v>77</v>
      </c>
      <c r="H78" s="1" t="s">
        <v>77</v>
      </c>
      <c r="I78" s="1" t="s">
        <v>77</v>
      </c>
      <c r="J78" s="1">
        <v>4.6E-5</v>
      </c>
      <c r="K78" s="1">
        <v>1.4E-5</v>
      </c>
      <c r="L78" s="1" t="s">
        <v>77</v>
      </c>
      <c r="M78" s="1">
        <v>9.0999999999999993E-6</v>
      </c>
    </row>
    <row r="79" spans="2:13" x14ac:dyDescent="0.2">
      <c r="B79">
        <f>+B78+1</f>
        <v>71</v>
      </c>
      <c r="C79" s="8" t="s">
        <v>81</v>
      </c>
      <c r="D79" s="1">
        <v>0.52</v>
      </c>
      <c r="E79" s="1">
        <v>8.0000000000000007E-5</v>
      </c>
      <c r="F79" s="1">
        <v>2E-3</v>
      </c>
      <c r="G79" s="1">
        <v>8.0000000000000007E-5</v>
      </c>
      <c r="H79" s="1" t="s">
        <v>77</v>
      </c>
      <c r="I79" s="1" t="s">
        <v>77</v>
      </c>
      <c r="J79" s="1">
        <v>6.3E-5</v>
      </c>
      <c r="K79" s="1">
        <v>1.9000000000000001E-5</v>
      </c>
      <c r="L79" s="1" t="s">
        <v>77</v>
      </c>
      <c r="M79" s="1">
        <v>1.9000000000000001E-5</v>
      </c>
    </row>
    <row r="80" spans="2:13" x14ac:dyDescent="0.2">
      <c r="B80">
        <v>72</v>
      </c>
      <c r="C80" s="8" t="s">
        <v>107</v>
      </c>
      <c r="D80" s="1">
        <v>0.3</v>
      </c>
      <c r="E80" s="1">
        <v>1</v>
      </c>
      <c r="F80" s="1">
        <v>0.3</v>
      </c>
      <c r="G80" s="1">
        <v>1</v>
      </c>
      <c r="H80" s="1" t="s">
        <v>77</v>
      </c>
      <c r="I80" s="1" t="s">
        <v>77</v>
      </c>
      <c r="J80" s="1" t="s">
        <v>77</v>
      </c>
      <c r="K80" s="1" t="s">
        <v>77</v>
      </c>
      <c r="L80" s="1" t="s">
        <v>77</v>
      </c>
      <c r="M80" s="1" t="s">
        <v>77</v>
      </c>
    </row>
    <row r="81" spans="2:13" x14ac:dyDescent="0.2">
      <c r="B81">
        <v>73</v>
      </c>
      <c r="C81" s="8" t="s">
        <v>108</v>
      </c>
      <c r="D81" s="1">
        <v>0.3</v>
      </c>
      <c r="E81" s="1">
        <v>1</v>
      </c>
      <c r="F81" s="1">
        <v>0.3</v>
      </c>
      <c r="G81" s="1">
        <v>1</v>
      </c>
      <c r="H81" s="1" t="s">
        <v>77</v>
      </c>
      <c r="I81" s="1" t="s">
        <v>77</v>
      </c>
      <c r="J81" s="1" t="s">
        <v>77</v>
      </c>
      <c r="K81" s="1" t="s">
        <v>77</v>
      </c>
      <c r="L81" s="1" t="s">
        <v>77</v>
      </c>
      <c r="M81" s="1" t="s">
        <v>77</v>
      </c>
    </row>
    <row r="82" spans="2:13" x14ac:dyDescent="0.2">
      <c r="B82">
        <v>74</v>
      </c>
      <c r="C82" s="8" t="s">
        <v>93</v>
      </c>
      <c r="D82" s="1" t="s">
        <v>77</v>
      </c>
      <c r="E82" s="1" t="s">
        <v>77</v>
      </c>
      <c r="F82" s="1" t="s">
        <v>77</v>
      </c>
      <c r="G82" s="1" t="s">
        <v>77</v>
      </c>
      <c r="H82" s="1" t="s">
        <v>77</v>
      </c>
      <c r="I82" s="1" t="s">
        <v>77</v>
      </c>
      <c r="J82" s="1">
        <v>0.99</v>
      </c>
      <c r="K82" s="1">
        <v>0.67</v>
      </c>
      <c r="L82" s="1" t="s">
        <v>77</v>
      </c>
      <c r="M82" s="1">
        <v>0.67</v>
      </c>
    </row>
    <row r="83" spans="2:13" x14ac:dyDescent="0.2">
      <c r="B83">
        <v>75</v>
      </c>
      <c r="C83" s="8" t="s">
        <v>94</v>
      </c>
      <c r="D83" s="1" t="s">
        <v>77</v>
      </c>
      <c r="E83" s="1" t="s">
        <v>77</v>
      </c>
      <c r="F83" s="1" t="s">
        <v>77</v>
      </c>
      <c r="G83" s="1" t="s">
        <v>77</v>
      </c>
      <c r="H83" s="1" t="s">
        <v>77</v>
      </c>
      <c r="I83" s="1" t="s">
        <v>77</v>
      </c>
      <c r="J83" s="1">
        <v>40</v>
      </c>
      <c r="K83" s="1">
        <v>8.3000000000000007</v>
      </c>
      <c r="L83" s="1" t="s">
        <v>77</v>
      </c>
      <c r="M83" s="1">
        <v>8.3000000000000007</v>
      </c>
    </row>
    <row r="84" spans="2:13" x14ac:dyDescent="0.2">
      <c r="B84">
        <v>76</v>
      </c>
      <c r="C84" s="8" t="s">
        <v>95</v>
      </c>
      <c r="D84" s="1" t="s">
        <v>77</v>
      </c>
      <c r="E84" s="1" t="s">
        <v>77</v>
      </c>
      <c r="F84" s="1" t="s">
        <v>77</v>
      </c>
      <c r="G84" s="1" t="s">
        <v>77</v>
      </c>
      <c r="H84" s="1" t="s">
        <v>77</v>
      </c>
      <c r="I84" s="1" t="s">
        <v>77</v>
      </c>
      <c r="J84" s="1">
        <v>1.8E-5</v>
      </c>
      <c r="K84" s="1">
        <v>3.8E-6</v>
      </c>
      <c r="L84" s="1" t="s">
        <v>77</v>
      </c>
      <c r="M84" s="1">
        <v>3.8E-6</v>
      </c>
    </row>
    <row r="85" spans="2:13" x14ac:dyDescent="0.2">
      <c r="B85">
        <v>77</v>
      </c>
      <c r="C85" s="8" t="s">
        <v>96</v>
      </c>
      <c r="D85" s="1" t="s">
        <v>77</v>
      </c>
      <c r="E85" s="1" t="s">
        <v>77</v>
      </c>
      <c r="F85" s="1" t="s">
        <v>77</v>
      </c>
      <c r="G85" s="1" t="s">
        <v>77</v>
      </c>
      <c r="H85" s="1" t="s">
        <v>77</v>
      </c>
      <c r="I85" s="1" t="s">
        <v>77</v>
      </c>
      <c r="J85" s="1">
        <v>1.8E-5</v>
      </c>
      <c r="K85" s="1">
        <v>3.8E-6</v>
      </c>
      <c r="L85" s="1" t="s">
        <v>77</v>
      </c>
      <c r="M85" s="1">
        <v>3.8E-6</v>
      </c>
    </row>
    <row r="86" spans="2:13" x14ac:dyDescent="0.2">
      <c r="B86">
        <v>78</v>
      </c>
      <c r="C86" s="8" t="s">
        <v>97</v>
      </c>
      <c r="D86" s="1" t="s">
        <v>77</v>
      </c>
      <c r="E86" s="1" t="s">
        <v>77</v>
      </c>
      <c r="F86" s="1" t="s">
        <v>77</v>
      </c>
      <c r="G86" s="1" t="s">
        <v>77</v>
      </c>
      <c r="H86" s="1" t="s">
        <v>77</v>
      </c>
      <c r="I86" s="1" t="s">
        <v>77</v>
      </c>
      <c r="J86" s="1">
        <v>1.8E-5</v>
      </c>
      <c r="K86" s="1">
        <v>3.8E-6</v>
      </c>
      <c r="L86" s="1" t="s">
        <v>77</v>
      </c>
      <c r="M86" s="1">
        <v>3.8E-6</v>
      </c>
    </row>
    <row r="87" spans="2:13" x14ac:dyDescent="0.2">
      <c r="B87">
        <v>79</v>
      </c>
      <c r="C87" s="8" t="s">
        <v>98</v>
      </c>
      <c r="D87" s="1" t="s">
        <v>77</v>
      </c>
      <c r="E87" s="1" t="s">
        <v>77</v>
      </c>
      <c r="F87" s="1" t="s">
        <v>77</v>
      </c>
      <c r="G87" s="1" t="s">
        <v>77</v>
      </c>
      <c r="H87" s="1" t="s">
        <v>77</v>
      </c>
      <c r="I87" s="1" t="s">
        <v>77</v>
      </c>
      <c r="J87" s="1">
        <v>1.8E-5</v>
      </c>
      <c r="K87" s="1">
        <v>3.8E-6</v>
      </c>
      <c r="L87" s="1" t="s">
        <v>77</v>
      </c>
      <c r="M87" s="1">
        <v>3.8E-6</v>
      </c>
    </row>
    <row r="88" spans="2:13" x14ac:dyDescent="0.2">
      <c r="B88">
        <v>80</v>
      </c>
      <c r="C88" s="8" t="s">
        <v>99</v>
      </c>
      <c r="D88" s="1" t="s">
        <v>77</v>
      </c>
      <c r="E88" s="1" t="s">
        <v>77</v>
      </c>
      <c r="F88" s="1" t="s">
        <v>77</v>
      </c>
      <c r="G88" s="1" t="s">
        <v>77</v>
      </c>
      <c r="H88" s="1" t="s">
        <v>77</v>
      </c>
      <c r="I88" s="1" t="s">
        <v>77</v>
      </c>
      <c r="J88" s="1">
        <v>1.8E-5</v>
      </c>
      <c r="K88" s="1">
        <v>3.8E-6</v>
      </c>
      <c r="L88" s="1" t="s">
        <v>77</v>
      </c>
      <c r="M88" s="1">
        <v>3.8E-6</v>
      </c>
    </row>
    <row r="89" spans="2:13" x14ac:dyDescent="0.2">
      <c r="B89">
        <v>81</v>
      </c>
      <c r="C89" s="8" t="s">
        <v>100</v>
      </c>
      <c r="D89" s="1" t="s">
        <v>77</v>
      </c>
      <c r="E89" s="1" t="s">
        <v>77</v>
      </c>
      <c r="F89" s="1" t="s">
        <v>77</v>
      </c>
      <c r="G89" s="1" t="s">
        <v>77</v>
      </c>
      <c r="H89" s="1" t="s">
        <v>77</v>
      </c>
      <c r="I89" s="1" t="s">
        <v>77</v>
      </c>
      <c r="J89" s="1">
        <v>1.8E-5</v>
      </c>
      <c r="K89" s="1">
        <v>3.8E-6</v>
      </c>
      <c r="L89" s="1" t="s">
        <v>77</v>
      </c>
      <c r="M89" s="1">
        <v>3.8E-6</v>
      </c>
    </row>
    <row r="90" spans="2:13" x14ac:dyDescent="0.2">
      <c r="B90">
        <v>82</v>
      </c>
      <c r="C90" s="8" t="s">
        <v>101</v>
      </c>
      <c r="D90" s="1" t="s">
        <v>77</v>
      </c>
      <c r="E90" s="1" t="s">
        <v>77</v>
      </c>
      <c r="F90" s="1" t="s">
        <v>77</v>
      </c>
      <c r="G90" s="1" t="s">
        <v>77</v>
      </c>
      <c r="H90" s="1" t="s">
        <v>77</v>
      </c>
      <c r="I90" s="1" t="s">
        <v>77</v>
      </c>
      <c r="J90" s="1">
        <v>5.3</v>
      </c>
      <c r="K90" s="1">
        <v>1.1000000000000001</v>
      </c>
      <c r="L90" s="1" t="s">
        <v>77</v>
      </c>
      <c r="M90" s="1">
        <v>1.1000000000000001</v>
      </c>
    </row>
    <row r="91" spans="2:13" x14ac:dyDescent="0.2">
      <c r="B91">
        <v>83</v>
      </c>
      <c r="C91" s="8" t="s">
        <v>102</v>
      </c>
      <c r="D91" s="1" t="s">
        <v>77</v>
      </c>
      <c r="E91" s="1" t="s">
        <v>77</v>
      </c>
      <c r="F91" s="1" t="s">
        <v>77</v>
      </c>
      <c r="G91" s="1" t="s">
        <v>77</v>
      </c>
      <c r="H91" s="1" t="s">
        <v>77</v>
      </c>
      <c r="I91" s="1" t="s">
        <v>77</v>
      </c>
      <c r="J91" s="1">
        <v>4</v>
      </c>
      <c r="K91" s="1">
        <v>0.83</v>
      </c>
      <c r="L91" s="1" t="s">
        <v>77</v>
      </c>
      <c r="M91" s="1">
        <v>0.83</v>
      </c>
    </row>
    <row r="92" spans="2:13" x14ac:dyDescent="0.2">
      <c r="B92">
        <v>84</v>
      </c>
      <c r="C92" s="8" t="s">
        <v>103</v>
      </c>
      <c r="D92" s="1" t="s">
        <v>77</v>
      </c>
      <c r="E92" s="1" t="s">
        <v>77</v>
      </c>
      <c r="F92" s="1" t="s">
        <v>77</v>
      </c>
      <c r="G92" s="1" t="s">
        <v>77</v>
      </c>
      <c r="H92" s="1" t="s">
        <v>77</v>
      </c>
      <c r="I92" s="1" t="s">
        <v>77</v>
      </c>
      <c r="J92" s="1">
        <v>1.8E-5</v>
      </c>
      <c r="K92" s="1">
        <v>3.8E-6</v>
      </c>
      <c r="L92" s="1" t="s">
        <v>77</v>
      </c>
      <c r="M92" s="1">
        <v>3.8E-6</v>
      </c>
    </row>
    <row r="93" spans="2:13" x14ac:dyDescent="0.2">
      <c r="B93">
        <v>85</v>
      </c>
      <c r="C93" s="8" t="s">
        <v>104</v>
      </c>
      <c r="D93" s="1" t="s">
        <v>77</v>
      </c>
      <c r="E93" s="1" t="s">
        <v>77</v>
      </c>
      <c r="F93" s="1" t="s">
        <v>77</v>
      </c>
      <c r="G93" s="1" t="s">
        <v>77</v>
      </c>
      <c r="H93" s="1" t="s">
        <v>77</v>
      </c>
      <c r="I93" s="1" t="s">
        <v>77</v>
      </c>
      <c r="J93" s="1" t="s">
        <v>77</v>
      </c>
      <c r="K93" s="1" t="s">
        <v>77</v>
      </c>
      <c r="L93" s="1" t="s">
        <v>77</v>
      </c>
      <c r="M93" s="1">
        <v>1.1999999999999999E-3</v>
      </c>
    </row>
    <row r="94" spans="2:13" x14ac:dyDescent="0.2">
      <c r="B94">
        <v>86</v>
      </c>
      <c r="C94" s="8" t="s">
        <v>106</v>
      </c>
      <c r="D94" s="1" t="s">
        <v>77</v>
      </c>
      <c r="E94" s="1" t="s">
        <v>77</v>
      </c>
      <c r="F94" s="1" t="s">
        <v>77</v>
      </c>
      <c r="G94" s="1" t="s">
        <v>77</v>
      </c>
      <c r="H94" s="1" t="s">
        <v>77</v>
      </c>
      <c r="I94" s="1" t="s">
        <v>77</v>
      </c>
      <c r="J94" s="1" t="s">
        <v>77</v>
      </c>
      <c r="K94" s="1">
        <v>1.4999999999999999E-2</v>
      </c>
      <c r="L94" s="1" t="s">
        <v>77</v>
      </c>
      <c r="M94" s="1" t="s">
        <v>77</v>
      </c>
    </row>
    <row r="95" spans="2:13" x14ac:dyDescent="0.2">
      <c r="B95">
        <v>87</v>
      </c>
      <c r="C95" s="8" t="s">
        <v>92</v>
      </c>
      <c r="D95" s="1" t="s">
        <v>77</v>
      </c>
      <c r="E95" s="1" t="s">
        <v>77</v>
      </c>
      <c r="F95" s="1" t="s">
        <v>77</v>
      </c>
      <c r="G95" s="1" t="s">
        <v>77</v>
      </c>
      <c r="H95" s="1" t="s">
        <v>77</v>
      </c>
      <c r="I95" s="1" t="s">
        <v>77</v>
      </c>
      <c r="J95" s="1" t="s">
        <v>77</v>
      </c>
      <c r="K95" s="1" t="s">
        <v>77</v>
      </c>
      <c r="L95" s="1" t="s">
        <v>77</v>
      </c>
      <c r="M95" s="1">
        <v>5.0000000000000001E-3</v>
      </c>
    </row>
    <row r="96" spans="2:13" x14ac:dyDescent="0.2">
      <c r="B96">
        <v>88</v>
      </c>
      <c r="C96" s="22" t="s">
        <v>111</v>
      </c>
      <c r="D96" s="1" t="s">
        <v>77</v>
      </c>
      <c r="E96" s="1" t="s">
        <v>77</v>
      </c>
      <c r="F96" s="1" t="s">
        <v>77</v>
      </c>
      <c r="G96" s="1" t="s">
        <v>77</v>
      </c>
      <c r="H96" s="1" t="s">
        <v>77</v>
      </c>
      <c r="I96" s="1" t="s">
        <v>77</v>
      </c>
      <c r="J96" s="1">
        <v>1.5</v>
      </c>
      <c r="K96" s="1">
        <v>4.7E-2</v>
      </c>
      <c r="L96" s="1" t="s">
        <v>77</v>
      </c>
      <c r="M96" s="1">
        <v>4.7E-2</v>
      </c>
    </row>
    <row r="97" spans="2:13" x14ac:dyDescent="0.2">
      <c r="B97">
        <v>89</v>
      </c>
      <c r="C97" s="22" t="s">
        <v>119</v>
      </c>
      <c r="D97" s="1" t="s">
        <v>77</v>
      </c>
      <c r="E97" s="1" t="s">
        <v>77</v>
      </c>
      <c r="F97" s="1" t="s">
        <v>77</v>
      </c>
      <c r="G97" s="1" t="s">
        <v>77</v>
      </c>
      <c r="H97" s="1" t="s">
        <v>77</v>
      </c>
      <c r="I97" s="1" t="s">
        <v>77</v>
      </c>
      <c r="J97" s="1">
        <v>0.59</v>
      </c>
      <c r="K97" s="1">
        <v>4.5999999999999999E-3</v>
      </c>
      <c r="L97" s="1" t="s">
        <v>77</v>
      </c>
      <c r="M97" s="1">
        <v>4.5999999999999999E-3</v>
      </c>
    </row>
    <row r="98" spans="2:13" x14ac:dyDescent="0.2">
      <c r="B98">
        <v>90</v>
      </c>
      <c r="C98" s="22" t="s">
        <v>120</v>
      </c>
      <c r="D98" s="1" t="s">
        <v>77</v>
      </c>
      <c r="E98" s="1" t="s">
        <v>77</v>
      </c>
      <c r="F98" s="1" t="s">
        <v>77</v>
      </c>
      <c r="G98" s="1" t="s">
        <v>77</v>
      </c>
      <c r="H98" s="1" t="s">
        <v>77</v>
      </c>
      <c r="I98" s="1" t="s">
        <v>77</v>
      </c>
      <c r="J98" s="1">
        <v>1.7000000000000001E-2</v>
      </c>
      <c r="K98" s="1">
        <v>5.5000000000000003E-4</v>
      </c>
      <c r="L98" s="1" t="s">
        <v>77</v>
      </c>
      <c r="M98" s="1">
        <v>5.5000000000000003E-4</v>
      </c>
    </row>
    <row r="99" spans="2:13" x14ac:dyDescent="0.2">
      <c r="B99">
        <v>91</v>
      </c>
      <c r="C99" s="22" t="s">
        <v>121</v>
      </c>
      <c r="D99" s="1" t="s">
        <v>77</v>
      </c>
      <c r="E99" s="1" t="s">
        <v>77</v>
      </c>
      <c r="F99" s="1" t="s">
        <v>77</v>
      </c>
      <c r="G99" s="1" t="s">
        <v>77</v>
      </c>
      <c r="H99" s="1" t="s">
        <v>77</v>
      </c>
      <c r="I99" s="1" t="s">
        <v>77</v>
      </c>
      <c r="J99" s="1" t="s">
        <v>77</v>
      </c>
      <c r="K99" s="1" t="s">
        <v>77</v>
      </c>
      <c r="L99" s="1" t="s">
        <v>77</v>
      </c>
      <c r="M99" s="1">
        <v>1.5</v>
      </c>
    </row>
    <row r="100" spans="2:13" x14ac:dyDescent="0.2">
      <c r="B100">
        <v>92</v>
      </c>
      <c r="C100" s="22" t="s">
        <v>122</v>
      </c>
      <c r="D100" s="1" t="s">
        <v>77</v>
      </c>
      <c r="E100" s="1" t="s">
        <v>77</v>
      </c>
      <c r="F100" s="1" t="s">
        <v>77</v>
      </c>
      <c r="G100" s="1" t="s">
        <v>77</v>
      </c>
      <c r="H100" s="1" t="s">
        <v>77</v>
      </c>
      <c r="I100" s="1" t="s">
        <v>77</v>
      </c>
      <c r="J100" s="1" t="s">
        <v>77</v>
      </c>
      <c r="K100" s="1" t="s">
        <v>77</v>
      </c>
      <c r="L100" s="1" t="s">
        <v>77</v>
      </c>
      <c r="M100" s="1">
        <v>17</v>
      </c>
    </row>
    <row r="101" spans="2:13" x14ac:dyDescent="0.2">
      <c r="B101">
        <v>93</v>
      </c>
      <c r="C101" s="22" t="s">
        <v>123</v>
      </c>
      <c r="D101" s="1" t="s">
        <v>77</v>
      </c>
      <c r="E101" s="1" t="s">
        <v>77</v>
      </c>
      <c r="F101" s="1" t="s">
        <v>77</v>
      </c>
      <c r="G101" s="1" t="s">
        <v>77</v>
      </c>
      <c r="H101" s="1" t="s">
        <v>77</v>
      </c>
      <c r="I101" s="1" t="s">
        <v>77</v>
      </c>
      <c r="J101" s="1" t="s">
        <v>77</v>
      </c>
      <c r="K101" s="1" t="s">
        <v>77</v>
      </c>
      <c r="L101" s="1" t="s">
        <v>77</v>
      </c>
      <c r="M101" s="1">
        <v>270</v>
      </c>
    </row>
    <row r="102" spans="2:13" x14ac:dyDescent="0.2">
      <c r="B102">
        <v>94</v>
      </c>
      <c r="C102" s="22" t="s">
        <v>124</v>
      </c>
      <c r="D102" s="1" t="s">
        <v>77</v>
      </c>
      <c r="E102" s="1" t="s">
        <v>77</v>
      </c>
      <c r="F102" s="1" t="s">
        <v>77</v>
      </c>
      <c r="G102" s="1" t="s">
        <v>77</v>
      </c>
      <c r="H102" s="1" t="s">
        <v>77</v>
      </c>
      <c r="I102" s="1" t="s">
        <v>77</v>
      </c>
      <c r="J102" s="1" t="s">
        <v>77</v>
      </c>
      <c r="K102" s="1" t="s">
        <v>77</v>
      </c>
      <c r="L102" s="1" t="s">
        <v>77</v>
      </c>
      <c r="M102" s="1">
        <v>2</v>
      </c>
    </row>
    <row r="103" spans="2:13" x14ac:dyDescent="0.2">
      <c r="B103">
        <v>95</v>
      </c>
      <c r="C103" s="22" t="s">
        <v>126</v>
      </c>
      <c r="D103" s="1" t="s">
        <v>77</v>
      </c>
      <c r="E103" s="1" t="s">
        <v>77</v>
      </c>
      <c r="F103" s="1" t="s">
        <v>77</v>
      </c>
      <c r="G103" s="1" t="s">
        <v>77</v>
      </c>
      <c r="H103" s="1" t="s">
        <v>77</v>
      </c>
      <c r="I103" s="1" t="s">
        <v>77</v>
      </c>
      <c r="J103" s="1" t="s">
        <v>77</v>
      </c>
      <c r="K103" s="1" t="s">
        <v>77</v>
      </c>
      <c r="L103" s="1" t="s">
        <v>77</v>
      </c>
      <c r="M103" s="1">
        <v>500</v>
      </c>
    </row>
  </sheetData>
  <sheetProtection password="CCE9" sheet="1" objects="1" scenarios="1"/>
  <customSheetViews>
    <customSheetView guid="{1427C86A-26C6-4A3A-B53B-CDE7110D9A30}" scale="75" showRuler="0">
      <pane ySplit="8" topLeftCell="A9" activePane="bottomLeft" state="frozenSplit"/>
      <selection pane="bottomLeft" activeCell="D9" sqref="D9"/>
      <pageMargins left="0.75" right="0.75" top="1" bottom="1" header="0.5" footer="0.5"/>
      <pageSetup orientation="portrait" r:id="rId1"/>
      <headerFooter alignWithMargins="0"/>
    </customSheetView>
  </customSheetViews>
  <mergeCells count="10">
    <mergeCell ref="M5:M6"/>
    <mergeCell ref="J5:L5"/>
    <mergeCell ref="J6:L6"/>
    <mergeCell ref="J7:L7"/>
    <mergeCell ref="D6:G6"/>
    <mergeCell ref="D7:E7"/>
    <mergeCell ref="F7:G7"/>
    <mergeCell ref="D5:G5"/>
    <mergeCell ref="H5:I6"/>
    <mergeCell ref="H7:I7"/>
  </mergeCells>
  <phoneticPr fontId="0" type="noConversion"/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6" zoomScaleNormal="100" workbookViewId="0">
      <selection activeCell="M30" sqref="M30"/>
    </sheetView>
  </sheetViews>
  <sheetFormatPr defaultRowHeight="12.75" x14ac:dyDescent="0.2"/>
  <cols>
    <col min="1" max="1" width="13.7109375" style="26" customWidth="1"/>
    <col min="2" max="2" width="7.85546875" style="26" customWidth="1"/>
    <col min="3" max="3" width="17.85546875" style="26" customWidth="1"/>
    <col min="4" max="9" width="13.42578125" style="56" customWidth="1"/>
    <col min="10" max="10" width="11.28515625" style="56" customWidth="1"/>
    <col min="11" max="11" width="9.42578125" style="56" customWidth="1"/>
    <col min="12" max="12" width="9.140625" style="56"/>
    <col min="13" max="13" width="10.42578125" style="56" customWidth="1"/>
    <col min="14" max="16384" width="9.140625" style="26"/>
  </cols>
  <sheetData>
    <row r="1" spans="1:13" ht="18" x14ac:dyDescent="0.25">
      <c r="A1" s="25"/>
      <c r="B1" s="148" t="str">
        <f>Standards!D1</f>
        <v>Water Quality Standards - WV Standards July 2008 and ORSANCO Standards 2011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">
      <c r="A2" s="25"/>
      <c r="B2" s="27">
        <v>400</v>
      </c>
      <c r="C2" s="25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x14ac:dyDescent="0.2">
      <c r="A3" s="25"/>
      <c r="B3" s="27">
        <f>Standards!B2</f>
        <v>0</v>
      </c>
      <c r="C3" s="25"/>
      <c r="D3" s="151"/>
      <c r="E3" s="151"/>
      <c r="F3" s="28"/>
      <c r="G3" s="28"/>
      <c r="H3" s="28"/>
      <c r="I3" s="28"/>
      <c r="J3" s="28"/>
      <c r="K3" s="28"/>
      <c r="L3" s="28"/>
      <c r="M3" s="28"/>
    </row>
    <row r="4" spans="1:13" x14ac:dyDescent="0.2">
      <c r="A4" s="25"/>
      <c r="B4" s="28"/>
      <c r="C4" s="25"/>
      <c r="D4" s="28"/>
      <c r="E4" s="28"/>
      <c r="F4" s="152" t="s">
        <v>127</v>
      </c>
      <c r="G4" s="150"/>
      <c r="H4" s="150"/>
      <c r="I4" s="29"/>
      <c r="J4" s="28"/>
      <c r="K4" s="151"/>
      <c r="L4" s="151"/>
      <c r="M4" s="28"/>
    </row>
    <row r="5" spans="1:13" ht="13.5" thickBot="1" x14ac:dyDescent="0.25">
      <c r="A5" s="25"/>
      <c r="B5" s="25"/>
      <c r="C5" s="25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 x14ac:dyDescent="0.2">
      <c r="A6" s="25"/>
      <c r="B6" s="30">
        <f>IF(B37&gt;400,400,B37)</f>
        <v>25</v>
      </c>
      <c r="C6" s="31" t="s">
        <v>8</v>
      </c>
      <c r="D6" s="153" t="str">
        <f>Standards!D5</f>
        <v>State WQS</v>
      </c>
      <c r="E6" s="154"/>
      <c r="F6" s="154"/>
      <c r="G6" s="154"/>
      <c r="H6" s="155" t="str">
        <f>Standards!H5</f>
        <v>ORSANCO</v>
      </c>
      <c r="I6" s="156"/>
      <c r="J6" s="153" t="str">
        <f>Standards!J5</f>
        <v>State WQS</v>
      </c>
      <c r="K6" s="154"/>
      <c r="L6" s="159"/>
      <c r="M6" s="160" t="str">
        <f>Standards!M5</f>
        <v>ORSANCO</v>
      </c>
    </row>
    <row r="7" spans="1:13" ht="15" x14ac:dyDescent="0.2">
      <c r="A7" s="25"/>
      <c r="B7" s="32">
        <f>B3</f>
        <v>0</v>
      </c>
      <c r="C7" s="33" t="s">
        <v>9</v>
      </c>
      <c r="D7" s="162" t="str">
        <f>Standards!D6</f>
        <v>Aquatic</v>
      </c>
      <c r="E7" s="163"/>
      <c r="F7" s="163"/>
      <c r="G7" s="163"/>
      <c r="H7" s="157"/>
      <c r="I7" s="158"/>
      <c r="J7" s="162" t="str">
        <f>Standards!J6</f>
        <v>Human Health</v>
      </c>
      <c r="K7" s="163"/>
      <c r="L7" s="164"/>
      <c r="M7" s="161"/>
    </row>
    <row r="8" spans="1:13" ht="15" x14ac:dyDescent="0.2">
      <c r="A8" s="25"/>
      <c r="B8" s="32">
        <f>'POC Assessment'!E15</f>
        <v>0</v>
      </c>
      <c r="C8" s="33" t="s">
        <v>10</v>
      </c>
      <c r="D8" s="165" t="str">
        <f>Standards!D7</f>
        <v>B1, B4</v>
      </c>
      <c r="E8" s="166"/>
      <c r="F8" s="167" t="str">
        <f>Standards!F7</f>
        <v>B2</v>
      </c>
      <c r="G8" s="168"/>
      <c r="H8" s="162" t="str">
        <f>Standards!H7</f>
        <v>Aquatic</v>
      </c>
      <c r="I8" s="163"/>
      <c r="J8" s="162" t="str">
        <f>Standards!J7</f>
        <v>Uses</v>
      </c>
      <c r="K8" s="163"/>
      <c r="L8" s="164"/>
      <c r="M8" s="103" t="str">
        <f>Standards!M7</f>
        <v>Human</v>
      </c>
    </row>
    <row r="9" spans="1:13" ht="13.5" thickBot="1" x14ac:dyDescent="0.25">
      <c r="A9" s="25"/>
      <c r="B9" s="35"/>
      <c r="C9" s="36"/>
      <c r="D9" s="37" t="str">
        <f>Standards!D8</f>
        <v>Acute</v>
      </c>
      <c r="E9" s="38" t="str">
        <f>Standards!E8</f>
        <v>Chronic</v>
      </c>
      <c r="F9" s="38" t="str">
        <f>Standards!F8</f>
        <v>Acute</v>
      </c>
      <c r="G9" s="39" t="str">
        <f>Standards!G8</f>
        <v>Chronic</v>
      </c>
      <c r="H9" s="37" t="str">
        <f>Standards!H8</f>
        <v>Acute</v>
      </c>
      <c r="I9" s="39" t="str">
        <f>Standards!I8</f>
        <v>Chronic</v>
      </c>
      <c r="J9" s="37" t="str">
        <f>Standards!J8</f>
        <v>C</v>
      </c>
      <c r="K9" s="38" t="str">
        <f>Standards!K8</f>
        <v>A</v>
      </c>
      <c r="L9" s="108" t="str">
        <f>Standards!L8</f>
        <v>Other</v>
      </c>
      <c r="M9" s="109" t="str">
        <f>Standards!M8</f>
        <v>Health</v>
      </c>
    </row>
    <row r="10" spans="1:13" x14ac:dyDescent="0.2">
      <c r="A10" s="25"/>
      <c r="B10" s="146" t="str">
        <f>Standards!C9</f>
        <v>Aluminum</v>
      </c>
      <c r="C10" s="147"/>
      <c r="D10" s="40">
        <f>Standards!D9</f>
        <v>0.75</v>
      </c>
      <c r="E10" s="41">
        <f>Standards!E9</f>
        <v>0.75</v>
      </c>
      <c r="F10" s="41">
        <f>Standards!F9</f>
        <v>0.75</v>
      </c>
      <c r="G10" s="42">
        <f>Standards!G9</f>
        <v>8.6999999999999994E-2</v>
      </c>
      <c r="H10" s="97" t="str">
        <f>Standards!H9</f>
        <v>NA</v>
      </c>
      <c r="I10" s="47" t="str">
        <f>Standards!I9</f>
        <v>NA</v>
      </c>
      <c r="J10" s="97" t="str">
        <f>Standards!J9</f>
        <v>NA</v>
      </c>
      <c r="K10" s="46" t="str">
        <f>Standards!K9</f>
        <v>NA</v>
      </c>
      <c r="L10" s="48" t="str">
        <f>Standards!L9</f>
        <v>NA</v>
      </c>
      <c r="M10" s="104" t="str">
        <f>Standards!M9</f>
        <v>NA</v>
      </c>
    </row>
    <row r="11" spans="1:13" x14ac:dyDescent="0.2">
      <c r="A11" s="25"/>
      <c r="B11" s="142" t="str">
        <f>Standards!C10</f>
        <v>Ammonia</v>
      </c>
      <c r="C11" s="143"/>
      <c r="D11" s="93">
        <f>Standards!D10</f>
        <v>58.399996374686296</v>
      </c>
      <c r="E11" s="43">
        <f>Standards!E10</f>
        <v>17.719874644969217</v>
      </c>
      <c r="F11" s="94">
        <f>Standards!F10</f>
        <v>38.999997579018896</v>
      </c>
      <c r="G11" s="44">
        <f>Standards!G10</f>
        <v>17.719874644969217</v>
      </c>
      <c r="H11" s="101">
        <f>Standards!H10</f>
        <v>58.399996374686296</v>
      </c>
      <c r="I11" s="102">
        <f>Standards!I10</f>
        <v>17.719874644969217</v>
      </c>
      <c r="J11" s="96" t="str">
        <f>Standards!J10</f>
        <v>NA</v>
      </c>
      <c r="K11" s="95" t="str">
        <f>Standards!K10</f>
        <v>NA</v>
      </c>
      <c r="L11" s="100" t="str">
        <f>Standards!L10</f>
        <v>NA</v>
      </c>
      <c r="M11" s="107">
        <f>Standards!M10</f>
        <v>1</v>
      </c>
    </row>
    <row r="12" spans="1:13" x14ac:dyDescent="0.2">
      <c r="A12" s="25"/>
      <c r="B12" s="144" t="str">
        <f>Standards!C11</f>
        <v>Antimony</v>
      </c>
      <c r="C12" s="145"/>
      <c r="D12" s="45" t="str">
        <f>Standards!D11</f>
        <v>NA</v>
      </c>
      <c r="E12" s="46" t="str">
        <f>Standards!E11</f>
        <v>NA</v>
      </c>
      <c r="F12" s="46" t="str">
        <f>Standards!F11</f>
        <v>NA</v>
      </c>
      <c r="G12" s="47" t="str">
        <f>Standards!G11</f>
        <v>NA</v>
      </c>
      <c r="H12" s="97" t="str">
        <f>Standards!H11</f>
        <v>NA</v>
      </c>
      <c r="I12" s="47" t="str">
        <f>Standards!I11</f>
        <v>NA</v>
      </c>
      <c r="J12" s="97">
        <f>Standards!J11</f>
        <v>4.3</v>
      </c>
      <c r="K12" s="46">
        <f>Standards!K11</f>
        <v>1.4E-2</v>
      </c>
      <c r="L12" s="48" t="str">
        <f>Standards!L11</f>
        <v>NA</v>
      </c>
      <c r="M12" s="104">
        <f>Standards!M11</f>
        <v>5.5999999999999999E-3</v>
      </c>
    </row>
    <row r="13" spans="1:13" x14ac:dyDescent="0.2">
      <c r="A13" s="25"/>
      <c r="B13" s="142" t="str">
        <f>Standards!C12</f>
        <v>Arsenic</v>
      </c>
      <c r="C13" s="143"/>
      <c r="D13" s="32">
        <f>Standards!D12</f>
        <v>0.34</v>
      </c>
      <c r="E13" s="43">
        <f>Standards!E12</f>
        <v>0.15</v>
      </c>
      <c r="F13" s="43">
        <f>Standards!F12</f>
        <v>0.34</v>
      </c>
      <c r="G13" s="44">
        <f>Standards!G12</f>
        <v>0.15</v>
      </c>
      <c r="H13" s="98">
        <f>Standards!H12</f>
        <v>0.34</v>
      </c>
      <c r="I13" s="102">
        <f>Standards!I12</f>
        <v>0.15</v>
      </c>
      <c r="J13" s="96">
        <f>Standards!J12</f>
        <v>0.01</v>
      </c>
      <c r="K13" s="95">
        <f>Standards!K12</f>
        <v>0.01</v>
      </c>
      <c r="L13" s="100">
        <f>Standards!L12</f>
        <v>0.1</v>
      </c>
      <c r="M13" s="107">
        <f>Standards!M12</f>
        <v>0.01</v>
      </c>
    </row>
    <row r="14" spans="1:13" x14ac:dyDescent="0.2">
      <c r="A14" s="25"/>
      <c r="B14" s="144" t="str">
        <f>Standards!C13</f>
        <v>Barium</v>
      </c>
      <c r="C14" s="145"/>
      <c r="D14" s="45" t="str">
        <f>Standards!D13</f>
        <v>NA</v>
      </c>
      <c r="E14" s="46" t="str">
        <f>Standards!E13</f>
        <v>NA</v>
      </c>
      <c r="F14" s="46" t="str">
        <f>Standards!F13</f>
        <v>NA</v>
      </c>
      <c r="G14" s="47" t="str">
        <f>Standards!G13</f>
        <v>NA</v>
      </c>
      <c r="H14" s="97" t="str">
        <f>Standards!H13</f>
        <v>NA</v>
      </c>
      <c r="I14" s="47" t="str">
        <f>Standards!I13</f>
        <v>NA</v>
      </c>
      <c r="J14" s="97" t="str">
        <f>Standards!J13</f>
        <v>NA</v>
      </c>
      <c r="K14" s="46">
        <f>Standards!K13</f>
        <v>1</v>
      </c>
      <c r="L14" s="48" t="str">
        <f>Standards!L13</f>
        <v>NA</v>
      </c>
      <c r="M14" s="104">
        <f>Standards!M13</f>
        <v>1</v>
      </c>
    </row>
    <row r="15" spans="1:13" x14ac:dyDescent="0.2">
      <c r="A15" s="25"/>
      <c r="B15" s="142" t="str">
        <f>Standards!C14</f>
        <v>Berylium</v>
      </c>
      <c r="C15" s="143"/>
      <c r="D15" s="32">
        <f>Standards!D14</f>
        <v>0.13</v>
      </c>
      <c r="E15" s="43" t="str">
        <f>Standards!E14</f>
        <v>NA</v>
      </c>
      <c r="F15" s="43">
        <f>Standards!F14</f>
        <v>0.13</v>
      </c>
      <c r="G15" s="44" t="str">
        <f>Standards!G14</f>
        <v>NA</v>
      </c>
      <c r="H15" s="98" t="str">
        <f>Standards!H14</f>
        <v>NA</v>
      </c>
      <c r="I15" s="102" t="str">
        <f>Standards!I14</f>
        <v>NA</v>
      </c>
      <c r="J15" s="96" t="str">
        <f>Standards!J14</f>
        <v>NA</v>
      </c>
      <c r="K15" s="95">
        <f>Standards!K14</f>
        <v>4.0000000000000001E-3</v>
      </c>
      <c r="L15" s="100" t="str">
        <f>Standards!L14</f>
        <v>NA</v>
      </c>
      <c r="M15" s="107" t="str">
        <f>Standards!M14</f>
        <v>NA</v>
      </c>
    </row>
    <row r="16" spans="1:13" x14ac:dyDescent="0.2">
      <c r="A16" s="25"/>
      <c r="B16" s="144" t="str">
        <f>Standards!C15</f>
        <v>Cadmium</v>
      </c>
      <c r="C16" s="145"/>
      <c r="D16" s="45" t="e">
        <f>Standards!D15</f>
        <v>#NUM!</v>
      </c>
      <c r="E16" s="46" t="e">
        <f>Standards!E15</f>
        <v>#NUM!</v>
      </c>
      <c r="F16" s="46" t="e">
        <f>Standards!F15</f>
        <v>#NUM!</v>
      </c>
      <c r="G16" s="47" t="e">
        <f>Standards!G15</f>
        <v>#NUM!</v>
      </c>
      <c r="H16" s="97" t="e">
        <f>Standards!H15</f>
        <v>#NUM!</v>
      </c>
      <c r="I16" s="47" t="e">
        <f>Standards!I15</f>
        <v>#NUM!</v>
      </c>
      <c r="J16" s="97" t="str">
        <f>Standards!J15</f>
        <v>NA</v>
      </c>
      <c r="K16" s="46">
        <f>Standards!K15</f>
        <v>1E-3</v>
      </c>
      <c r="L16" s="48" t="str">
        <f>Standards!L15</f>
        <v>NA</v>
      </c>
      <c r="M16" s="104" t="str">
        <f>Standards!M15</f>
        <v>NA</v>
      </c>
    </row>
    <row r="17" spans="1:13" x14ac:dyDescent="0.2">
      <c r="A17" s="25"/>
      <c r="B17" s="142" t="str">
        <f>Standards!C16</f>
        <v>Chloride</v>
      </c>
      <c r="C17" s="143"/>
      <c r="D17" s="32">
        <f>Standards!D16</f>
        <v>860</v>
      </c>
      <c r="E17" s="43">
        <f>Standards!E16</f>
        <v>230</v>
      </c>
      <c r="F17" s="43">
        <f>Standards!F16</f>
        <v>860</v>
      </c>
      <c r="G17" s="44">
        <f>Standards!G16</f>
        <v>230</v>
      </c>
      <c r="H17" s="96" t="str">
        <f>Standards!H16</f>
        <v>NA</v>
      </c>
      <c r="I17" s="102" t="str">
        <f>Standards!I16</f>
        <v>NA</v>
      </c>
      <c r="J17" s="96">
        <f>Standards!J16</f>
        <v>250</v>
      </c>
      <c r="K17" s="95">
        <f>Standards!K16</f>
        <v>250</v>
      </c>
      <c r="L17" s="100" t="str">
        <f>Standards!L16</f>
        <v>NA</v>
      </c>
      <c r="M17" s="107">
        <f>Standards!M16</f>
        <v>250</v>
      </c>
    </row>
    <row r="18" spans="1:13" x14ac:dyDescent="0.2">
      <c r="A18" s="25"/>
      <c r="B18" s="144" t="str">
        <f>Standards!C17</f>
        <v>Hexavalent Chromium</v>
      </c>
      <c r="C18" s="145"/>
      <c r="D18" s="45">
        <f>Standards!D17</f>
        <v>1.6E-2</v>
      </c>
      <c r="E18" s="46">
        <f>Standards!E17</f>
        <v>1.0999999999999999E-2</v>
      </c>
      <c r="F18" s="46">
        <f>Standards!F17</f>
        <v>1.6E-2</v>
      </c>
      <c r="G18" s="47">
        <f>Standards!G17</f>
        <v>7.1999999999999998E-3</v>
      </c>
      <c r="H18" s="97">
        <f>Standards!H17</f>
        <v>1.6E-2</v>
      </c>
      <c r="I18" s="47">
        <f>Standards!I17</f>
        <v>1.0999999999999999E-2</v>
      </c>
      <c r="J18" s="97" t="str">
        <f>Standards!J17</f>
        <v>NA</v>
      </c>
      <c r="K18" s="46">
        <f>Standards!K17</f>
        <v>0.05</v>
      </c>
      <c r="L18" s="48" t="str">
        <f>Standards!L17</f>
        <v>NA</v>
      </c>
      <c r="M18" s="104" t="str">
        <f>Standards!M17</f>
        <v>NA</v>
      </c>
    </row>
    <row r="19" spans="1:13" x14ac:dyDescent="0.2">
      <c r="A19" s="25"/>
      <c r="B19" s="142" t="str">
        <f>Standards!C18</f>
        <v>Trivalent Chromium</v>
      </c>
      <c r="C19" s="143"/>
      <c r="D19" s="32" t="e">
        <f>Standards!D18</f>
        <v>#NUM!</v>
      </c>
      <c r="E19" s="43" t="e">
        <f>Standards!E18</f>
        <v>#NUM!</v>
      </c>
      <c r="F19" s="43" t="e">
        <f>Standards!F18</f>
        <v>#NUM!</v>
      </c>
      <c r="G19" s="44" t="e">
        <f>Standards!G18</f>
        <v>#NUM!</v>
      </c>
      <c r="H19" s="96" t="e">
        <f>Standards!H18</f>
        <v>#NUM!</v>
      </c>
      <c r="I19" s="102" t="e">
        <f>Standards!I18</f>
        <v>#NUM!</v>
      </c>
      <c r="J19" s="96" t="str">
        <f>Standards!J18</f>
        <v>NA</v>
      </c>
      <c r="K19" s="95" t="str">
        <f>Standards!K18</f>
        <v>NA</v>
      </c>
      <c r="L19" s="100" t="str">
        <f>Standards!L18</f>
        <v>NA</v>
      </c>
      <c r="M19" s="107" t="str">
        <f>Standards!M18</f>
        <v>NA</v>
      </c>
    </row>
    <row r="20" spans="1:13" x14ac:dyDescent="0.2">
      <c r="A20" s="25"/>
      <c r="B20" s="144" t="str">
        <f>Standards!C19</f>
        <v>Copper</v>
      </c>
      <c r="C20" s="145"/>
      <c r="D20" s="45">
        <f>Standards!D19</f>
        <v>3.7917391868599348E-3</v>
      </c>
      <c r="E20" s="46">
        <f>Standards!E19</f>
        <v>2.8534517230556027E-3</v>
      </c>
      <c r="F20" s="46">
        <f>Standards!F19</f>
        <v>3.7917391868599348E-3</v>
      </c>
      <c r="G20" s="47">
        <f>Standards!G19</f>
        <v>2.8534517230556027E-3</v>
      </c>
      <c r="H20" s="97">
        <f>Standards!H19</f>
        <v>3.7917391868599348E-3</v>
      </c>
      <c r="I20" s="47">
        <f>Standards!I19</f>
        <v>2.8534517230556027E-3</v>
      </c>
      <c r="J20" s="97" t="str">
        <f>Standards!J19</f>
        <v>NA</v>
      </c>
      <c r="K20" s="46">
        <f>Standards!K19</f>
        <v>1</v>
      </c>
      <c r="L20" s="48" t="str">
        <f>Standards!L19</f>
        <v>NA</v>
      </c>
      <c r="M20" s="104">
        <f>Standards!M19</f>
        <v>1.3</v>
      </c>
    </row>
    <row r="21" spans="1:13" x14ac:dyDescent="0.2">
      <c r="A21" s="25"/>
      <c r="B21" s="142" t="str">
        <f>Standards!C20</f>
        <v>Cyanide</v>
      </c>
      <c r="C21" s="143"/>
      <c r="D21" s="32">
        <f>Standards!D20</f>
        <v>2.1999999999999999E-2</v>
      </c>
      <c r="E21" s="43">
        <f>Standards!E20</f>
        <v>5.0000000000000001E-3</v>
      </c>
      <c r="F21" s="43">
        <f>Standards!F20</f>
        <v>2.1999999999999999E-2</v>
      </c>
      <c r="G21" s="44">
        <f>Standards!G20</f>
        <v>5.0000000000000001E-3</v>
      </c>
      <c r="H21" s="96">
        <f>Standards!H20</f>
        <v>2.1999999999999999E-2</v>
      </c>
      <c r="I21" s="102">
        <f>Standards!I20</f>
        <v>5.1999999999999998E-3</v>
      </c>
      <c r="J21" s="96">
        <f>Standards!J20</f>
        <v>5.0000000000000001E-3</v>
      </c>
      <c r="K21" s="95">
        <f>Standards!K20</f>
        <v>5.0000000000000001E-3</v>
      </c>
      <c r="L21" s="100" t="str">
        <f>Standards!L20</f>
        <v>NA</v>
      </c>
      <c r="M21" s="107">
        <f>Standards!M20</f>
        <v>0.14000000000000001</v>
      </c>
    </row>
    <row r="22" spans="1:13" x14ac:dyDescent="0.2">
      <c r="A22" s="25"/>
      <c r="B22" s="144" t="str">
        <f>Standards!C21</f>
        <v>Fluoride</v>
      </c>
      <c r="C22" s="145"/>
      <c r="D22" s="45" t="str">
        <f>Standards!D21</f>
        <v>NA</v>
      </c>
      <c r="E22" s="46" t="str">
        <f>Standards!E21</f>
        <v>NA</v>
      </c>
      <c r="F22" s="46" t="str">
        <f>Standards!F21</f>
        <v>NA</v>
      </c>
      <c r="G22" s="47" t="str">
        <f>Standards!G21</f>
        <v>NA</v>
      </c>
      <c r="H22" s="97" t="str">
        <f>Standards!H21</f>
        <v>NA</v>
      </c>
      <c r="I22" s="47" t="str">
        <f>Standards!I21</f>
        <v>NA</v>
      </c>
      <c r="J22" s="97" t="str">
        <f>Standards!J21</f>
        <v>NA</v>
      </c>
      <c r="K22" s="46">
        <f>Standards!K21</f>
        <v>1.4</v>
      </c>
      <c r="L22" s="48">
        <f>Standards!L21</f>
        <v>2</v>
      </c>
      <c r="M22" s="104">
        <f>Standards!M21</f>
        <v>1</v>
      </c>
    </row>
    <row r="23" spans="1:13" x14ac:dyDescent="0.2">
      <c r="A23" s="25"/>
      <c r="B23" s="142" t="str">
        <f>Standards!C22</f>
        <v>Iron</v>
      </c>
      <c r="C23" s="143"/>
      <c r="D23" s="32" t="str">
        <f>Standards!D22</f>
        <v>NA</v>
      </c>
      <c r="E23" s="43">
        <f>Standards!E22</f>
        <v>1.5</v>
      </c>
      <c r="F23" s="43" t="str">
        <f>Standards!F22</f>
        <v>NA</v>
      </c>
      <c r="G23" s="44">
        <f>Standards!G22</f>
        <v>1</v>
      </c>
      <c r="H23" s="96" t="str">
        <f>Standards!H22</f>
        <v>NA</v>
      </c>
      <c r="I23" s="102" t="str">
        <f>Standards!I22</f>
        <v>NA</v>
      </c>
      <c r="J23" s="96" t="str">
        <f>Standards!J22</f>
        <v>NA</v>
      </c>
      <c r="K23" s="95">
        <f>Standards!K22</f>
        <v>1.5</v>
      </c>
      <c r="L23" s="100" t="str">
        <f>Standards!L22</f>
        <v>NA</v>
      </c>
      <c r="M23" s="107" t="str">
        <f>Standards!M22</f>
        <v>NA</v>
      </c>
    </row>
    <row r="24" spans="1:13" x14ac:dyDescent="0.2">
      <c r="A24" s="25"/>
      <c r="B24" s="144" t="str">
        <f>Standards!C23</f>
        <v>Lead</v>
      </c>
      <c r="C24" s="145"/>
      <c r="D24" s="45">
        <f>Standards!D23</f>
        <v>1.3980016611766601E-2</v>
      </c>
      <c r="E24" s="46">
        <f>Standards!E23</f>
        <v>5.4478117705154382E-4</v>
      </c>
      <c r="F24" s="46">
        <f>Standards!F23</f>
        <v>1.3980016611766601E-2</v>
      </c>
      <c r="G24" s="47">
        <f>Standards!G23</f>
        <v>5.4478117705154382E-4</v>
      </c>
      <c r="H24" s="97">
        <f>Standards!H23</f>
        <v>1.3980016611766601E-2</v>
      </c>
      <c r="I24" s="47">
        <f>Standards!I23</f>
        <v>5.4478117705154382E-4</v>
      </c>
      <c r="J24" s="97" t="str">
        <f>Standards!J23</f>
        <v>NA</v>
      </c>
      <c r="K24" s="46">
        <f>Standards!K23</f>
        <v>0.05</v>
      </c>
      <c r="L24" s="48" t="str">
        <f>Standards!L23</f>
        <v>NA</v>
      </c>
      <c r="M24" s="104" t="str">
        <f>Standards!M23</f>
        <v>NA</v>
      </c>
    </row>
    <row r="25" spans="1:13" x14ac:dyDescent="0.2">
      <c r="A25" s="25"/>
      <c r="B25" s="142" t="str">
        <f>Standards!C24</f>
        <v>Manganese</v>
      </c>
      <c r="C25" s="143"/>
      <c r="D25" s="32" t="str">
        <f>Standards!D24</f>
        <v>NA</v>
      </c>
      <c r="E25" s="43" t="str">
        <f>Standards!E24</f>
        <v>NA</v>
      </c>
      <c r="F25" s="43" t="str">
        <f>Standards!F24</f>
        <v>NA</v>
      </c>
      <c r="G25" s="44" t="str">
        <f>Standards!G24</f>
        <v>NA</v>
      </c>
      <c r="H25" s="96" t="str">
        <f>Standards!H24</f>
        <v>NA</v>
      </c>
      <c r="I25" s="102" t="str">
        <f>Standards!I24</f>
        <v>NA</v>
      </c>
      <c r="J25" s="96" t="str">
        <f>Standards!J24</f>
        <v>NA</v>
      </c>
      <c r="K25" s="95">
        <f>Standards!K24</f>
        <v>1</v>
      </c>
      <c r="L25" s="100" t="str">
        <f>Standards!L24</f>
        <v>NA</v>
      </c>
      <c r="M25" s="107" t="str">
        <f>Standards!M24</f>
        <v>NA</v>
      </c>
    </row>
    <row r="26" spans="1:13" x14ac:dyDescent="0.2">
      <c r="A26" s="25"/>
      <c r="B26" s="144" t="str">
        <f>Standards!C25</f>
        <v>Mercury</v>
      </c>
      <c r="C26" s="145"/>
      <c r="D26" s="45">
        <f>Standards!D25</f>
        <v>2.3999999999999998E-3</v>
      </c>
      <c r="E26" s="46">
        <f>Standards!E25</f>
        <v>1.2E-5</v>
      </c>
      <c r="F26" s="46">
        <f>Standards!F25</f>
        <v>2.3999999999999998E-3</v>
      </c>
      <c r="G26" s="47">
        <f>Standards!G25</f>
        <v>1.2E-5</v>
      </c>
      <c r="H26" s="97">
        <f>Standards!H25</f>
        <v>1.6999999999999999E-3</v>
      </c>
      <c r="I26" s="47">
        <f>Standards!I25</f>
        <v>9.1E-4</v>
      </c>
      <c r="J26" s="97">
        <f>Standards!J25</f>
        <v>1.4999999999999999E-4</v>
      </c>
      <c r="K26" s="46">
        <f>Standards!K25</f>
        <v>1.3999999999999999E-4</v>
      </c>
      <c r="L26" s="48" t="str">
        <f>Standards!L25</f>
        <v>NA</v>
      </c>
      <c r="M26" s="104">
        <f>Standards!M25</f>
        <v>1.2E-5</v>
      </c>
    </row>
    <row r="27" spans="1:13" x14ac:dyDescent="0.2">
      <c r="A27" s="25"/>
      <c r="B27" s="142" t="str">
        <f>Standards!C26</f>
        <v>Nickel</v>
      </c>
      <c r="C27" s="143"/>
      <c r="D27" s="32">
        <f>Standards!D26</f>
        <v>0.14520825419362529</v>
      </c>
      <c r="E27" s="43">
        <f>Standards!E26</f>
        <v>1.6144330700751695E-2</v>
      </c>
      <c r="F27" s="43">
        <f>Standards!F26</f>
        <v>0.14520825419362529</v>
      </c>
      <c r="G27" s="44">
        <f>Standards!G26</f>
        <v>1.6144330700751695E-2</v>
      </c>
      <c r="H27" s="96">
        <f>Standards!H26</f>
        <v>0.14520825419362529</v>
      </c>
      <c r="I27" s="102">
        <f>Standards!I26</f>
        <v>1.6144330700751695E-2</v>
      </c>
      <c r="J27" s="96">
        <f>Standards!J26</f>
        <v>4.5999999999999996</v>
      </c>
      <c r="K27" s="95">
        <f>Standards!K26</f>
        <v>0.51</v>
      </c>
      <c r="L27" s="100" t="str">
        <f>Standards!L26</f>
        <v>NA</v>
      </c>
      <c r="M27" s="107">
        <f>Standards!M26</f>
        <v>0.61</v>
      </c>
    </row>
    <row r="28" spans="1:13" x14ac:dyDescent="0.2">
      <c r="A28" s="25"/>
      <c r="B28" s="144" t="str">
        <f>Standards!C27</f>
        <v>Nitrate (as Nitrate-N)</v>
      </c>
      <c r="C28" s="145"/>
      <c r="D28" s="45" t="str">
        <f>Standards!D27</f>
        <v>NA</v>
      </c>
      <c r="E28" s="46" t="str">
        <f>Standards!E27</f>
        <v>NA</v>
      </c>
      <c r="F28" s="46" t="str">
        <f>Standards!F27</f>
        <v>NA</v>
      </c>
      <c r="G28" s="47" t="str">
        <f>Standards!G27</f>
        <v>NA</v>
      </c>
      <c r="H28" s="97" t="str">
        <f>Standards!H27</f>
        <v>NA</v>
      </c>
      <c r="I28" s="47" t="str">
        <f>Standards!I27</f>
        <v>NA</v>
      </c>
      <c r="J28" s="97" t="str">
        <f>Standards!J27</f>
        <v>NA</v>
      </c>
      <c r="K28" s="46">
        <f>Standards!K27</f>
        <v>10</v>
      </c>
      <c r="L28" s="48" t="str">
        <f>Standards!L27</f>
        <v>NA</v>
      </c>
      <c r="M28" s="104" t="str">
        <f>Standards!M27</f>
        <v>NA</v>
      </c>
    </row>
    <row r="29" spans="1:13" x14ac:dyDescent="0.2">
      <c r="A29" s="25"/>
      <c r="B29" s="142" t="str">
        <f>Standards!C28</f>
        <v>Nitrite (as Nitrite-N)</v>
      </c>
      <c r="C29" s="143"/>
      <c r="D29" s="50">
        <f>Standards!D28</f>
        <v>1</v>
      </c>
      <c r="E29" s="49">
        <f>Standards!E28</f>
        <v>1</v>
      </c>
      <c r="F29" s="49">
        <f>Standards!F28</f>
        <v>0.06</v>
      </c>
      <c r="G29" s="51">
        <f>Standards!G28</f>
        <v>0.06</v>
      </c>
      <c r="H29" s="96" t="str">
        <f>Standards!H28</f>
        <v>NA</v>
      </c>
      <c r="I29" s="102" t="str">
        <f>Standards!I28</f>
        <v>NA</v>
      </c>
      <c r="J29" s="96" t="str">
        <f>Standards!J28</f>
        <v>NA</v>
      </c>
      <c r="K29" s="95" t="str">
        <f>Standards!K28</f>
        <v>NA</v>
      </c>
      <c r="L29" s="100" t="str">
        <f>Standards!L28</f>
        <v>NA</v>
      </c>
      <c r="M29" s="105">
        <f>Standards!M28</f>
        <v>1</v>
      </c>
    </row>
    <row r="30" spans="1:13" x14ac:dyDescent="0.2">
      <c r="A30" s="25"/>
      <c r="B30" s="144" t="str">
        <f>Standards!C69</f>
        <v>Selenium</v>
      </c>
      <c r="C30" s="145"/>
      <c r="D30" s="45">
        <f>Standards!D69</f>
        <v>0.02</v>
      </c>
      <c r="E30" s="46">
        <f>Standards!E69</f>
        <v>5.0000000000000001E-3</v>
      </c>
      <c r="F30" s="46">
        <f>Standards!F69</f>
        <v>0.02</v>
      </c>
      <c r="G30" s="47">
        <f>Standards!G69</f>
        <v>5.0000000000000001E-3</v>
      </c>
      <c r="H30" s="97">
        <f>Standards!H69</f>
        <v>0.02</v>
      </c>
      <c r="I30" s="47">
        <f>Standards!I69</f>
        <v>5.0000000000000001E-3</v>
      </c>
      <c r="J30" s="97" t="str">
        <f>Standards!J69</f>
        <v>NA</v>
      </c>
      <c r="K30" s="46">
        <f>Standards!K69</f>
        <v>0.05</v>
      </c>
      <c r="L30" s="48" t="str">
        <f>Standards!L69</f>
        <v>NA</v>
      </c>
      <c r="M30" s="104">
        <f>Standards!M69</f>
        <v>0.17</v>
      </c>
    </row>
    <row r="31" spans="1:13" x14ac:dyDescent="0.2">
      <c r="A31" s="25"/>
      <c r="B31" s="142" t="str">
        <f>Standards!C70</f>
        <v>Silver</v>
      </c>
      <c r="C31" s="143"/>
      <c r="D31" s="32" t="e">
        <f>Standards!D70</f>
        <v>#NUM!</v>
      </c>
      <c r="E31" s="43">
        <f>Standards!E70</f>
        <v>1E-3</v>
      </c>
      <c r="F31" s="43" t="e">
        <f>Standards!F70</f>
        <v>#NUM!</v>
      </c>
      <c r="G31" s="44">
        <f>Standards!G70</f>
        <v>1E-3</v>
      </c>
      <c r="H31" s="98" t="e">
        <f>Standards!H70</f>
        <v>#NUM!</v>
      </c>
      <c r="I31" s="44" t="str">
        <f>Standards!I70</f>
        <v>NA</v>
      </c>
      <c r="J31" s="98" t="str">
        <f>Standards!J70</f>
        <v>NA</v>
      </c>
      <c r="K31" s="43">
        <f>Standards!K70</f>
        <v>1E-3</v>
      </c>
      <c r="L31" s="34" t="str">
        <f>Standards!L70</f>
        <v>NA</v>
      </c>
      <c r="M31" s="103">
        <f>Standards!M70</f>
        <v>0.05</v>
      </c>
    </row>
    <row r="32" spans="1:13" x14ac:dyDescent="0.2">
      <c r="A32" s="25"/>
      <c r="B32" s="144" t="str">
        <f>Standards!C71</f>
        <v>Thallium</v>
      </c>
      <c r="C32" s="145"/>
      <c r="D32" s="45" t="str">
        <f>Standards!D71</f>
        <v>NA</v>
      </c>
      <c r="E32" s="46" t="str">
        <f>Standards!E71</f>
        <v>NA</v>
      </c>
      <c r="F32" s="46" t="str">
        <f>Standards!F71</f>
        <v>NA</v>
      </c>
      <c r="G32" s="47" t="str">
        <f>Standards!G71</f>
        <v>NA</v>
      </c>
      <c r="H32" s="97" t="str">
        <f>Standards!H71</f>
        <v>NA</v>
      </c>
      <c r="I32" s="47" t="str">
        <f>Standards!I71</f>
        <v>NA</v>
      </c>
      <c r="J32" s="97">
        <f>Standards!J71</f>
        <v>6.3E-3</v>
      </c>
      <c r="K32" s="46">
        <f>Standards!K71</f>
        <v>1.6999999999999999E-3</v>
      </c>
      <c r="L32" s="48" t="str">
        <f>Standards!L71</f>
        <v>NA</v>
      </c>
      <c r="M32" s="104">
        <f>Standards!M71</f>
        <v>2.4000000000000001E-4</v>
      </c>
    </row>
    <row r="33" spans="1:13" x14ac:dyDescent="0.2">
      <c r="A33" s="25"/>
      <c r="B33" s="142" t="str">
        <f>Standards!C72</f>
        <v>Total Residual Chlorine</v>
      </c>
      <c r="C33" s="143"/>
      <c r="D33" s="32">
        <f>Standards!D72</f>
        <v>1.9E-2</v>
      </c>
      <c r="E33" s="43">
        <f>Standards!E72</f>
        <v>1.0999999999999999E-2</v>
      </c>
      <c r="F33" s="43">
        <f>Standards!F72</f>
        <v>0</v>
      </c>
      <c r="G33" s="44">
        <f>Standards!G72</f>
        <v>0</v>
      </c>
      <c r="H33" s="98" t="str">
        <f>Standards!H72</f>
        <v>NA</v>
      </c>
      <c r="I33" s="44" t="str">
        <f>Standards!I72</f>
        <v>NA</v>
      </c>
      <c r="J33" s="98" t="str">
        <f>Standards!J72</f>
        <v>NA</v>
      </c>
      <c r="K33" s="43" t="str">
        <f>Standards!K72</f>
        <v>NA</v>
      </c>
      <c r="L33" s="34" t="str">
        <f>Standards!L72</f>
        <v>NA</v>
      </c>
      <c r="M33" s="103" t="str">
        <f>Standards!M72</f>
        <v>NA</v>
      </c>
    </row>
    <row r="34" spans="1:13" ht="13.5" thickBot="1" x14ac:dyDescent="0.25">
      <c r="A34" s="25"/>
      <c r="B34" s="140" t="str">
        <f>Standards!C73</f>
        <v>Zinc</v>
      </c>
      <c r="C34" s="141"/>
      <c r="D34" s="52">
        <f>Standards!D73</f>
        <v>3.7016119739777302E-2</v>
      </c>
      <c r="E34" s="53">
        <f>Standards!E73</f>
        <v>3.7016119739777302E-2</v>
      </c>
      <c r="F34" s="53">
        <f>Standards!F73</f>
        <v>3.7016119739777302E-2</v>
      </c>
      <c r="G34" s="54">
        <f>Standards!G73</f>
        <v>3.7016119739777302E-2</v>
      </c>
      <c r="H34" s="99">
        <f>Standards!H73</f>
        <v>3.7016119739777302E-2</v>
      </c>
      <c r="I34" s="54">
        <f>Standards!I73</f>
        <v>3.7016119739777302E-2</v>
      </c>
      <c r="J34" s="99" t="str">
        <f>Standards!J73</f>
        <v>NA</v>
      </c>
      <c r="K34" s="53" t="str">
        <f>Standards!K73</f>
        <v>NA</v>
      </c>
      <c r="L34" s="55" t="str">
        <f>Standards!L73</f>
        <v>NA</v>
      </c>
      <c r="M34" s="106">
        <f>Standards!M73</f>
        <v>7.4</v>
      </c>
    </row>
    <row r="37" spans="1:13" hidden="1" x14ac:dyDescent="0.2">
      <c r="B37" s="30">
        <f>IF('POC Assessment'!E13&lt;25,25,'POC Assessment'!E13)</f>
        <v>25</v>
      </c>
    </row>
  </sheetData>
  <sheetProtection password="CCE9" sheet="1" objects="1" scenarios="1" selectLockedCells="1"/>
  <mergeCells count="40">
    <mergeCell ref="B10:C10"/>
    <mergeCell ref="B1:M1"/>
    <mergeCell ref="D2:M2"/>
    <mergeCell ref="D3:E3"/>
    <mergeCell ref="F4:H4"/>
    <mergeCell ref="K4:L4"/>
    <mergeCell ref="D6:G6"/>
    <mergeCell ref="H6:I7"/>
    <mergeCell ref="J6:L6"/>
    <mergeCell ref="M6:M7"/>
    <mergeCell ref="D7:G7"/>
    <mergeCell ref="J7:L7"/>
    <mergeCell ref="D8:E8"/>
    <mergeCell ref="F8:G8"/>
    <mergeCell ref="H8:I8"/>
    <mergeCell ref="J8:L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2" right="0.2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03"/>
  <sheetViews>
    <sheetView tabSelected="1" zoomScaleNormal="100" workbookViewId="0">
      <selection activeCell="C3" sqref="C3:G3"/>
    </sheetView>
  </sheetViews>
  <sheetFormatPr defaultRowHeight="12.75" x14ac:dyDescent="0.2"/>
  <cols>
    <col min="1" max="1" width="2.28515625" style="26" customWidth="1"/>
    <col min="2" max="2" width="19.140625" style="26" customWidth="1"/>
    <col min="3" max="3" width="9.85546875" style="26" customWidth="1"/>
    <col min="4" max="4" width="18.5703125" style="26" customWidth="1"/>
    <col min="5" max="5" width="15.42578125" style="26" customWidth="1"/>
    <col min="6" max="6" width="17" style="26" customWidth="1"/>
    <col min="7" max="7" width="14" style="26" customWidth="1"/>
    <col min="8" max="8" width="17.5703125" style="26" customWidth="1"/>
    <col min="9" max="9" width="18.85546875" style="26" customWidth="1"/>
    <col min="10" max="10" width="8" style="26" customWidth="1"/>
    <col min="11" max="11" width="9.85546875" style="58" customWidth="1"/>
    <col min="12" max="50" width="9.140625" style="58"/>
    <col min="51" max="16384" width="9.140625" style="26"/>
  </cols>
  <sheetData>
    <row r="1" spans="1:13" ht="18" x14ac:dyDescent="0.2">
      <c r="A1" s="191" t="s">
        <v>155</v>
      </c>
      <c r="B1" s="192"/>
      <c r="C1" s="192"/>
      <c r="D1" s="192"/>
      <c r="E1" s="192"/>
      <c r="F1" s="192"/>
      <c r="G1" s="192"/>
      <c r="H1" s="192"/>
      <c r="I1" s="192"/>
      <c r="J1" s="57"/>
      <c r="K1" s="57"/>
    </row>
    <row r="2" spans="1:13" ht="15.75" x14ac:dyDescent="0.25">
      <c r="A2" s="59"/>
      <c r="B2" s="59"/>
      <c r="C2" s="60"/>
      <c r="D2" s="60"/>
      <c r="E2" s="60"/>
      <c r="F2" s="60"/>
      <c r="G2" s="60"/>
      <c r="H2" s="60"/>
      <c r="I2" s="60"/>
      <c r="J2" s="57"/>
      <c r="K2" s="57"/>
      <c r="L2" s="61"/>
      <c r="M2" s="61"/>
    </row>
    <row r="3" spans="1:13" ht="16.5" customHeight="1" x14ac:dyDescent="0.25">
      <c r="A3" s="62"/>
      <c r="B3" s="63" t="s">
        <v>128</v>
      </c>
      <c r="C3" s="193"/>
      <c r="D3" s="194"/>
      <c r="E3" s="194"/>
      <c r="F3" s="194"/>
      <c r="G3" s="194"/>
      <c r="H3" s="64" t="s">
        <v>129</v>
      </c>
      <c r="I3" s="65"/>
      <c r="J3" s="66"/>
      <c r="K3" s="66"/>
      <c r="L3" s="66"/>
      <c r="M3" s="66"/>
    </row>
    <row r="4" spans="1:13" ht="17.25" customHeight="1" x14ac:dyDescent="0.25">
      <c r="A4" s="62"/>
      <c r="B4" s="64" t="s">
        <v>130</v>
      </c>
      <c r="C4" s="193"/>
      <c r="D4" s="194"/>
      <c r="E4" s="194"/>
      <c r="F4" s="194"/>
      <c r="G4" s="194"/>
      <c r="H4" s="67" t="s">
        <v>131</v>
      </c>
      <c r="I4" s="68"/>
      <c r="J4" s="69"/>
      <c r="K4" s="69"/>
    </row>
    <row r="5" spans="1:13" ht="19.5" customHeight="1" x14ac:dyDescent="0.25">
      <c r="A5" s="62"/>
      <c r="B5" s="64" t="s">
        <v>132</v>
      </c>
      <c r="C5" s="193"/>
      <c r="D5" s="194"/>
      <c r="E5" s="194"/>
      <c r="F5" s="70"/>
      <c r="G5" s="65"/>
      <c r="H5" s="71"/>
      <c r="I5" s="72"/>
      <c r="J5" s="69"/>
      <c r="K5" s="69"/>
    </row>
    <row r="6" spans="1:13" s="58" customFormat="1" ht="22.5" customHeight="1" x14ac:dyDescent="0.25">
      <c r="A6" s="62"/>
      <c r="B6" s="67" t="s">
        <v>133</v>
      </c>
      <c r="C6" s="73">
        <v>2</v>
      </c>
      <c r="D6" s="74"/>
      <c r="E6" s="75"/>
      <c r="F6" s="75"/>
      <c r="G6" s="72"/>
      <c r="H6" s="64" t="s">
        <v>134</v>
      </c>
      <c r="I6" s="73">
        <v>2</v>
      </c>
      <c r="J6" s="69"/>
      <c r="K6" s="69"/>
    </row>
    <row r="7" spans="1:13" ht="7.5" customHeight="1" x14ac:dyDescent="0.2">
      <c r="A7" s="62"/>
      <c r="B7" s="76"/>
      <c r="C7" s="72"/>
      <c r="D7" s="77"/>
      <c r="E7" s="72"/>
      <c r="F7" s="72"/>
      <c r="G7" s="72"/>
      <c r="H7" s="72"/>
      <c r="I7" s="72"/>
      <c r="J7" s="69"/>
      <c r="K7" s="69"/>
    </row>
    <row r="8" spans="1:13" ht="8.25" customHeight="1" thickBot="1" x14ac:dyDescent="0.25">
      <c r="A8" s="62"/>
      <c r="B8" s="62"/>
      <c r="C8" s="62"/>
      <c r="D8" s="78"/>
      <c r="E8" s="79"/>
      <c r="F8" s="79"/>
      <c r="G8" s="79"/>
      <c r="H8" s="79"/>
      <c r="I8" s="79"/>
      <c r="J8" s="58"/>
    </row>
    <row r="9" spans="1:13" ht="12.75" customHeight="1" x14ac:dyDescent="0.2">
      <c r="A9" s="25"/>
      <c r="B9" s="195" t="s">
        <v>154</v>
      </c>
      <c r="C9" s="196"/>
      <c r="D9" s="121" t="s">
        <v>135</v>
      </c>
      <c r="E9" s="199" t="s">
        <v>136</v>
      </c>
      <c r="F9" s="200"/>
      <c r="G9" s="201"/>
      <c r="H9" s="202"/>
      <c r="I9" s="207" t="s">
        <v>137</v>
      </c>
      <c r="J9" s="176"/>
      <c r="K9" s="177"/>
      <c r="L9" s="80"/>
      <c r="M9" s="66"/>
    </row>
    <row r="10" spans="1:13" ht="13.5" thickBot="1" x14ac:dyDescent="0.25">
      <c r="A10" s="62"/>
      <c r="B10" s="197"/>
      <c r="C10" s="198"/>
      <c r="D10" s="122" t="s">
        <v>138</v>
      </c>
      <c r="E10" s="203"/>
      <c r="F10" s="204"/>
      <c r="G10" s="205"/>
      <c r="H10" s="206"/>
      <c r="I10" s="208"/>
      <c r="J10" s="178"/>
      <c r="K10" s="178"/>
      <c r="L10" s="66"/>
      <c r="M10" s="66"/>
    </row>
    <row r="11" spans="1:13" x14ac:dyDescent="0.2">
      <c r="A11" s="62"/>
      <c r="B11" s="197"/>
      <c r="C11" s="198"/>
      <c r="D11" s="122" t="s">
        <v>139</v>
      </c>
      <c r="E11" s="179" t="s">
        <v>140</v>
      </c>
      <c r="F11" s="181" t="s">
        <v>141</v>
      </c>
      <c r="G11" s="179" t="s">
        <v>142</v>
      </c>
      <c r="H11" s="183" t="s">
        <v>143</v>
      </c>
      <c r="I11" s="208"/>
      <c r="J11" s="80"/>
      <c r="K11" s="66"/>
      <c r="L11" s="80"/>
      <c r="M11" s="66"/>
    </row>
    <row r="12" spans="1:13" ht="13.5" thickBot="1" x14ac:dyDescent="0.25">
      <c r="A12" s="62"/>
      <c r="B12" s="197"/>
      <c r="C12" s="198"/>
      <c r="D12" s="122" t="s">
        <v>144</v>
      </c>
      <c r="E12" s="180"/>
      <c r="F12" s="182"/>
      <c r="G12" s="180"/>
      <c r="H12" s="184"/>
      <c r="I12" s="208"/>
      <c r="J12" s="80"/>
      <c r="K12" s="80"/>
      <c r="L12" s="80"/>
      <c r="M12" s="80"/>
    </row>
    <row r="13" spans="1:13" x14ac:dyDescent="0.2">
      <c r="A13" s="62"/>
      <c r="B13" s="185" t="s">
        <v>75</v>
      </c>
      <c r="C13" s="186"/>
      <c r="D13" s="111" t="s">
        <v>77</v>
      </c>
      <c r="E13" s="81"/>
      <c r="F13" s="82"/>
      <c r="G13" s="83"/>
      <c r="H13" s="116" t="s">
        <v>77</v>
      </c>
      <c r="I13" s="117" t="s">
        <v>77</v>
      </c>
      <c r="J13" s="80"/>
      <c r="K13" s="80"/>
      <c r="L13" s="80"/>
      <c r="M13" s="80"/>
    </row>
    <row r="14" spans="1:13" x14ac:dyDescent="0.2">
      <c r="A14" s="62"/>
      <c r="B14" s="189" t="s">
        <v>152</v>
      </c>
      <c r="C14" s="190"/>
      <c r="D14" s="112" t="s">
        <v>77</v>
      </c>
      <c r="E14" s="81"/>
      <c r="F14" s="85"/>
      <c r="G14" s="83"/>
      <c r="H14" s="116" t="s">
        <v>77</v>
      </c>
      <c r="I14" s="116" t="s">
        <v>77</v>
      </c>
      <c r="J14" s="80"/>
      <c r="K14" s="80"/>
      <c r="L14" s="80"/>
      <c r="M14" s="80"/>
    </row>
    <row r="15" spans="1:13" x14ac:dyDescent="0.2">
      <c r="A15" s="62"/>
      <c r="B15" s="187" t="s">
        <v>10</v>
      </c>
      <c r="C15" s="188"/>
      <c r="D15" s="113" t="s">
        <v>145</v>
      </c>
      <c r="E15" s="84"/>
      <c r="F15" s="85"/>
      <c r="G15" s="83"/>
      <c r="H15" s="116" t="s">
        <v>77</v>
      </c>
      <c r="I15" s="118" t="str">
        <f>IF(E15="","",IF(OR(E15&gt;10,E15&lt;6),"Yes","No"))</f>
        <v/>
      </c>
      <c r="J15" s="80"/>
      <c r="K15" s="80"/>
      <c r="L15" s="80"/>
      <c r="M15" s="80"/>
    </row>
    <row r="16" spans="1:13" x14ac:dyDescent="0.2">
      <c r="A16" s="62"/>
      <c r="B16" s="173" t="s">
        <v>146</v>
      </c>
      <c r="C16" s="170"/>
      <c r="D16" s="114">
        <f>IF($C$6=1,'Standards Short List'!G10,'Standards Short List'!E10)</f>
        <v>0.75</v>
      </c>
      <c r="E16" s="84"/>
      <c r="F16" s="85"/>
      <c r="G16" s="81"/>
      <c r="H16" s="118" t="str">
        <f t="shared" ref="H16:H24" si="0">IF(G16="","",IF(G16&gt;D16,"No - Re-analyze","Acceptable"))</f>
        <v/>
      </c>
      <c r="I16" s="118" t="str">
        <f>IF(E16="","",IF(H16="No - Re-analyze","Questionable",IF(E16&gt;D16,"Yes","No")))</f>
        <v/>
      </c>
      <c r="J16" s="66"/>
      <c r="K16" s="66"/>
      <c r="L16" s="66"/>
      <c r="M16" s="66"/>
    </row>
    <row r="17" spans="1:13" x14ac:dyDescent="0.2">
      <c r="A17" s="62"/>
      <c r="B17" s="169" t="str">
        <f>'Standards Short List'!B11</f>
        <v>Ammonia</v>
      </c>
      <c r="C17" s="170"/>
      <c r="D17" s="114">
        <f>IF($C$6=1,'Standards Short List'!G11,'Standards Short List'!E11)</f>
        <v>17.719874644969217</v>
      </c>
      <c r="E17" s="86"/>
      <c r="F17" s="87"/>
      <c r="G17" s="86"/>
      <c r="H17" s="118" t="str">
        <f t="shared" si="0"/>
        <v/>
      </c>
      <c r="I17" s="118" t="str">
        <f t="shared" ref="I17:I21" si="1">IF(E17="","",IF(H17="No - Re-analyze","Questionable",IF(E17&gt;D17,"Yes","No")))</f>
        <v/>
      </c>
      <c r="J17" s="80"/>
      <c r="K17" s="66"/>
      <c r="L17" s="80"/>
      <c r="M17" s="66"/>
    </row>
    <row r="18" spans="1:13" x14ac:dyDescent="0.2">
      <c r="A18" s="62"/>
      <c r="B18" s="169" t="str">
        <f>'Standards Short List'!B12</f>
        <v>Antimony</v>
      </c>
      <c r="C18" s="170"/>
      <c r="D18" s="114">
        <f>IF($C$6=1,'Standards Short List'!K12,'Standards Short List'!K12)</f>
        <v>1.4E-2</v>
      </c>
      <c r="E18" s="84"/>
      <c r="F18" s="87"/>
      <c r="G18" s="84"/>
      <c r="H18" s="118" t="str">
        <f t="shared" si="0"/>
        <v/>
      </c>
      <c r="I18" s="118" t="str">
        <f t="shared" si="1"/>
        <v/>
      </c>
      <c r="J18" s="66"/>
      <c r="K18" s="66"/>
      <c r="L18" s="66"/>
      <c r="M18" s="66"/>
    </row>
    <row r="19" spans="1:13" x14ac:dyDescent="0.2">
      <c r="A19" s="62"/>
      <c r="B19" s="169" t="str">
        <f>'Standards Short List'!B13</f>
        <v>Arsenic</v>
      </c>
      <c r="C19" s="170"/>
      <c r="D19" s="114">
        <f>IF($C$6=1,'Standards Short List'!K13,'Standards Short List'!K13)</f>
        <v>0.01</v>
      </c>
      <c r="E19" s="84"/>
      <c r="F19" s="87"/>
      <c r="G19" s="84"/>
      <c r="H19" s="118" t="str">
        <f t="shared" si="0"/>
        <v/>
      </c>
      <c r="I19" s="118" t="str">
        <f t="shared" si="1"/>
        <v/>
      </c>
      <c r="J19" s="66"/>
      <c r="K19" s="66"/>
      <c r="L19" s="66"/>
      <c r="M19" s="66"/>
    </row>
    <row r="20" spans="1:13" x14ac:dyDescent="0.2">
      <c r="A20" s="62"/>
      <c r="B20" s="169" t="str">
        <f>'Standards Short List'!B14</f>
        <v>Barium</v>
      </c>
      <c r="C20" s="170"/>
      <c r="D20" s="114">
        <f>IF($C$6=1,'Standards Short List'!K14,'Standards Short List'!K14)</f>
        <v>1</v>
      </c>
      <c r="E20" s="84"/>
      <c r="F20" s="88"/>
      <c r="G20" s="84"/>
      <c r="H20" s="118" t="str">
        <f t="shared" si="0"/>
        <v/>
      </c>
      <c r="I20" s="118" t="str">
        <f t="shared" si="1"/>
        <v/>
      </c>
      <c r="J20" s="66"/>
      <c r="K20" s="66"/>
      <c r="L20" s="66"/>
      <c r="M20" s="66"/>
    </row>
    <row r="21" spans="1:13" x14ac:dyDescent="0.2">
      <c r="A21" s="62"/>
      <c r="B21" s="169" t="s">
        <v>156</v>
      </c>
      <c r="C21" s="170"/>
      <c r="D21" s="114">
        <f>IF($I$6=1,'Standards Short List'!K15,'Standards Short List'!K15)</f>
        <v>4.0000000000000001E-3</v>
      </c>
      <c r="E21" s="84"/>
      <c r="F21" s="87"/>
      <c r="G21" s="84"/>
      <c r="H21" s="118" t="str">
        <f t="shared" si="0"/>
        <v/>
      </c>
      <c r="I21" s="118" t="str">
        <f t="shared" si="1"/>
        <v/>
      </c>
      <c r="J21" s="66"/>
      <c r="K21" s="66"/>
      <c r="L21" s="66"/>
      <c r="M21" s="66"/>
    </row>
    <row r="22" spans="1:13" x14ac:dyDescent="0.2">
      <c r="A22" s="62"/>
      <c r="B22" s="169" t="str">
        <f>'Standards Short List'!B16</f>
        <v>Cadmium</v>
      </c>
      <c r="C22" s="170"/>
      <c r="D22" s="114" t="e">
        <f>IF($C$6=1,'Standards Short List'!G16,'Standards Short List'!E16)</f>
        <v>#NUM!</v>
      </c>
      <c r="E22" s="86"/>
      <c r="F22" s="87"/>
      <c r="G22" s="84"/>
      <c r="H22" s="118" t="str">
        <f t="shared" si="0"/>
        <v/>
      </c>
      <c r="I22" s="118" t="str">
        <f t="shared" ref="I22:I39" si="2">IF(E22="","",IF(H22="No - Re-analyze","Questionable",IF(E22&gt;D22,"Yes","No")))</f>
        <v/>
      </c>
      <c r="J22" s="66"/>
      <c r="K22" s="66"/>
      <c r="L22" s="66"/>
      <c r="M22" s="66"/>
    </row>
    <row r="23" spans="1:13" x14ac:dyDescent="0.2">
      <c r="A23" s="62"/>
      <c r="B23" s="169" t="str">
        <f>'Standards Short List'!B17</f>
        <v>Chloride</v>
      </c>
      <c r="C23" s="170"/>
      <c r="D23" s="114">
        <f>IF($C$6=1,'Standards Short List'!G17,'Standards Short List'!E17)</f>
        <v>230</v>
      </c>
      <c r="E23" s="84"/>
      <c r="F23" s="87"/>
      <c r="G23" s="84"/>
      <c r="H23" s="118" t="str">
        <f t="shared" si="0"/>
        <v/>
      </c>
      <c r="I23" s="118" t="str">
        <f t="shared" si="2"/>
        <v/>
      </c>
      <c r="J23" s="66"/>
      <c r="K23" s="66"/>
      <c r="L23" s="66"/>
      <c r="M23" s="66"/>
    </row>
    <row r="24" spans="1:13" x14ac:dyDescent="0.2">
      <c r="A24" s="62"/>
      <c r="B24" s="173" t="s">
        <v>147</v>
      </c>
      <c r="C24" s="170"/>
      <c r="D24" s="114">
        <f>IF($C$6=1,'Standards Short List'!G18,'Standards Short List'!E18)</f>
        <v>1.0999999999999999E-2</v>
      </c>
      <c r="E24" s="84"/>
      <c r="F24" s="87"/>
      <c r="G24" s="84"/>
      <c r="H24" s="118" t="str">
        <f t="shared" si="0"/>
        <v/>
      </c>
      <c r="I24" s="118" t="str">
        <f t="shared" si="2"/>
        <v/>
      </c>
      <c r="J24" s="66"/>
      <c r="K24" s="66"/>
      <c r="L24" s="66"/>
      <c r="M24" s="66"/>
    </row>
    <row r="25" spans="1:13" hidden="1" x14ac:dyDescent="0.2">
      <c r="A25" s="62"/>
      <c r="B25" s="169" t="str">
        <f>'[1]Standards Short List'!B19</f>
        <v>Trivalent Chromium</v>
      </c>
      <c r="C25" s="170"/>
      <c r="D25" s="114" t="e">
        <f>IF($C$6=1,'Standards Short List'!G19,'Standards Short List'!E19)</f>
        <v>#NUM!</v>
      </c>
      <c r="E25" s="84"/>
      <c r="F25" s="87"/>
      <c r="G25" s="84"/>
      <c r="H25" s="118" t="str">
        <f t="shared" ref="H25" si="3">IF(G25="","Not Determined",IF(G25&gt;D25,"No - Re-analyze","Acceptable"))</f>
        <v>Not Determined</v>
      </c>
      <c r="I25" s="118" t="str">
        <f t="shared" si="2"/>
        <v/>
      </c>
      <c r="J25" s="66"/>
      <c r="K25" s="66"/>
      <c r="L25" s="66"/>
      <c r="M25" s="66"/>
    </row>
    <row r="26" spans="1:13" x14ac:dyDescent="0.2">
      <c r="A26" s="62"/>
      <c r="B26" s="169" t="str">
        <f>'Standards Short List'!B20</f>
        <v>Copper</v>
      </c>
      <c r="C26" s="170"/>
      <c r="D26" s="114">
        <f>IF($C$6=1,'Standards Short List'!G20,'Standards Short List'!E20)</f>
        <v>2.8534517230556027E-3</v>
      </c>
      <c r="E26" s="84"/>
      <c r="F26" s="87"/>
      <c r="G26" s="84"/>
      <c r="H26" s="118" t="str">
        <f t="shared" ref="H26:H39" si="4">IF(G26="","",IF(G26&gt;D26,"No - Re-analyze","Acceptable"))</f>
        <v/>
      </c>
      <c r="I26" s="118" t="str">
        <f t="shared" si="2"/>
        <v/>
      </c>
      <c r="J26" s="66"/>
      <c r="K26" s="66"/>
      <c r="L26" s="66"/>
      <c r="M26" s="66"/>
    </row>
    <row r="27" spans="1:13" x14ac:dyDescent="0.2">
      <c r="A27" s="62"/>
      <c r="B27" s="169" t="str">
        <f>'Standards Short List'!B21</f>
        <v>Cyanide</v>
      </c>
      <c r="C27" s="170"/>
      <c r="D27" s="114">
        <f>IF($C$6=1,'Standards Short List'!G21,'Standards Short List'!E21)</f>
        <v>5.0000000000000001E-3</v>
      </c>
      <c r="E27" s="84"/>
      <c r="F27" s="87"/>
      <c r="G27" s="84"/>
      <c r="H27" s="118" t="str">
        <f t="shared" si="4"/>
        <v/>
      </c>
      <c r="I27" s="118" t="str">
        <f t="shared" si="2"/>
        <v/>
      </c>
      <c r="J27" s="66"/>
      <c r="K27" s="66"/>
      <c r="L27" s="66"/>
      <c r="M27" s="66"/>
    </row>
    <row r="28" spans="1:13" x14ac:dyDescent="0.2">
      <c r="A28" s="62"/>
      <c r="B28" s="169" t="str">
        <f>'Standards Short List'!B23</f>
        <v>Iron</v>
      </c>
      <c r="C28" s="170"/>
      <c r="D28" s="114">
        <f>IF($C$6=1,'Standards Short List'!G23,'Standards Short List'!E23)</f>
        <v>1.5</v>
      </c>
      <c r="E28" s="84"/>
      <c r="F28" s="87"/>
      <c r="G28" s="84"/>
      <c r="H28" s="118" t="str">
        <f t="shared" si="4"/>
        <v/>
      </c>
      <c r="I28" s="118" t="str">
        <f t="shared" si="2"/>
        <v/>
      </c>
      <c r="J28" s="66"/>
      <c r="K28" s="66"/>
      <c r="L28" s="66"/>
      <c r="M28" s="66"/>
    </row>
    <row r="29" spans="1:13" x14ac:dyDescent="0.2">
      <c r="A29" s="62"/>
      <c r="B29" s="169" t="str">
        <f>'Standards Short List'!B24</f>
        <v>Lead</v>
      </c>
      <c r="C29" s="170"/>
      <c r="D29" s="114">
        <f>IF($C$6=1,'Standards Short List'!G24,'Standards Short List'!E24)</f>
        <v>5.4478117705154382E-4</v>
      </c>
      <c r="E29" s="84"/>
      <c r="F29" s="87"/>
      <c r="G29" s="84"/>
      <c r="H29" s="118" t="str">
        <f t="shared" si="4"/>
        <v/>
      </c>
      <c r="I29" s="118" t="str">
        <f t="shared" si="2"/>
        <v/>
      </c>
      <c r="J29" s="66"/>
      <c r="K29" s="66"/>
      <c r="L29" s="66"/>
      <c r="M29" s="66"/>
    </row>
    <row r="30" spans="1:13" x14ac:dyDescent="0.2">
      <c r="A30" s="62"/>
      <c r="B30" s="174" t="str">
        <f>'Standards Short List'!B25</f>
        <v>Manganese</v>
      </c>
      <c r="C30" s="175"/>
      <c r="D30" s="114" t="str">
        <f>IF($I$6=1,'Standards Short List'!K25,'Standards Short List'!E25)</f>
        <v>NA</v>
      </c>
      <c r="E30" s="84"/>
      <c r="F30" s="87"/>
      <c r="G30" s="84"/>
      <c r="H30" s="118" t="str">
        <f t="shared" si="4"/>
        <v/>
      </c>
      <c r="I30" s="118" t="str">
        <f t="shared" si="2"/>
        <v/>
      </c>
      <c r="J30" s="66"/>
      <c r="K30" s="66"/>
      <c r="L30" s="66"/>
      <c r="M30" s="66"/>
    </row>
    <row r="31" spans="1:13" x14ac:dyDescent="0.2">
      <c r="A31" s="62"/>
      <c r="B31" s="173" t="s">
        <v>148</v>
      </c>
      <c r="C31" s="170"/>
      <c r="D31" s="114">
        <f>IF($C$6=1,'Standards Short List'!G26,'Standards Short List'!E26)</f>
        <v>1.2E-5</v>
      </c>
      <c r="E31" s="86"/>
      <c r="F31" s="87"/>
      <c r="G31" s="86"/>
      <c r="H31" s="118" t="str">
        <f t="shared" si="4"/>
        <v/>
      </c>
      <c r="I31" s="118" t="str">
        <f>IF(E31="","",IF(H31="No - Re-analyze","Questionable",IF(E31&gt;D31,"Yes","No")))</f>
        <v/>
      </c>
      <c r="J31" s="80"/>
      <c r="K31" s="66"/>
      <c r="L31" s="80"/>
      <c r="M31" s="66"/>
    </row>
    <row r="32" spans="1:13" x14ac:dyDescent="0.2">
      <c r="A32" s="62"/>
      <c r="B32" s="169" t="str">
        <f>'Standards Short List'!B27</f>
        <v>Nickel</v>
      </c>
      <c r="C32" s="170"/>
      <c r="D32" s="114">
        <f>IF($C$6=1,'Standards Short List'!G27,'Standards Short List'!E27)</f>
        <v>1.6144330700751695E-2</v>
      </c>
      <c r="E32" s="84"/>
      <c r="F32" s="87"/>
      <c r="G32" s="84"/>
      <c r="H32" s="118" t="str">
        <f t="shared" si="4"/>
        <v/>
      </c>
      <c r="I32" s="118" t="str">
        <f t="shared" si="2"/>
        <v/>
      </c>
      <c r="J32" s="66"/>
      <c r="K32" s="66"/>
      <c r="L32" s="66"/>
      <c r="M32" s="66"/>
    </row>
    <row r="33" spans="1:13" x14ac:dyDescent="0.2">
      <c r="A33" s="62"/>
      <c r="B33" s="169" t="str">
        <f>'Standards Short List'!B28</f>
        <v>Nitrate (as Nitrate-N)</v>
      </c>
      <c r="C33" s="170"/>
      <c r="D33" s="114">
        <f>IF($C$6=1,'Standards Short List'!K28,'Standards Short List'!K28)</f>
        <v>10</v>
      </c>
      <c r="E33" s="84"/>
      <c r="F33" s="87"/>
      <c r="G33" s="84"/>
      <c r="H33" s="118" t="str">
        <f t="shared" si="4"/>
        <v/>
      </c>
      <c r="I33" s="118" t="str">
        <f t="shared" si="2"/>
        <v/>
      </c>
      <c r="J33" s="66"/>
      <c r="K33" s="66"/>
      <c r="L33" s="66"/>
      <c r="M33" s="66"/>
    </row>
    <row r="34" spans="1:13" x14ac:dyDescent="0.2">
      <c r="A34" s="62"/>
      <c r="B34" s="169" t="str">
        <f>'Standards Short List'!B29</f>
        <v>Nitrite (as Nitrite-N)</v>
      </c>
      <c r="C34" s="170"/>
      <c r="D34" s="114">
        <f>IF($C$6=1,'Standards Short List'!G29,'Standards Short List'!E29)</f>
        <v>1</v>
      </c>
      <c r="E34" s="84"/>
      <c r="F34" s="88"/>
      <c r="G34" s="84"/>
      <c r="H34" s="118" t="str">
        <f t="shared" si="4"/>
        <v/>
      </c>
      <c r="I34" s="118" t="str">
        <f t="shared" si="2"/>
        <v/>
      </c>
      <c r="J34" s="66"/>
      <c r="K34" s="66"/>
      <c r="L34" s="66"/>
      <c r="M34" s="66"/>
    </row>
    <row r="35" spans="1:13" x14ac:dyDescent="0.2">
      <c r="A35" s="62"/>
      <c r="B35" s="169" t="str">
        <f>'Standards Short List'!B30</f>
        <v>Selenium</v>
      </c>
      <c r="C35" s="170"/>
      <c r="D35" s="114">
        <f>IF($C$6=1,'Standards Short List'!G30,'Standards Short List'!E30)</f>
        <v>5.0000000000000001E-3</v>
      </c>
      <c r="E35" s="84"/>
      <c r="F35" s="87"/>
      <c r="G35" s="84"/>
      <c r="H35" s="118" t="str">
        <f t="shared" si="4"/>
        <v/>
      </c>
      <c r="I35" s="118" t="str">
        <f t="shared" si="2"/>
        <v/>
      </c>
      <c r="J35" s="66"/>
      <c r="K35" s="66"/>
      <c r="L35" s="66"/>
      <c r="M35" s="66"/>
    </row>
    <row r="36" spans="1:13" x14ac:dyDescent="0.2">
      <c r="A36" s="62"/>
      <c r="B36" s="169" t="str">
        <f>'Standards Short List'!B31</f>
        <v>Silver</v>
      </c>
      <c r="C36" s="170"/>
      <c r="D36" s="114" t="e">
        <f>IF($C$6=1,'Standards Short List'!D31,'Standards Short List'!D31)</f>
        <v>#NUM!</v>
      </c>
      <c r="E36" s="84"/>
      <c r="F36" s="87"/>
      <c r="G36" s="84"/>
      <c r="H36" s="118" t="str">
        <f t="shared" si="4"/>
        <v/>
      </c>
      <c r="I36" s="118" t="str">
        <f t="shared" si="2"/>
        <v/>
      </c>
      <c r="J36" s="66"/>
      <c r="K36" s="66"/>
      <c r="L36" s="66"/>
      <c r="M36" s="66"/>
    </row>
    <row r="37" spans="1:13" x14ac:dyDescent="0.2">
      <c r="A37" s="62"/>
      <c r="B37" s="169" t="str">
        <f>'Standards Short List'!B32</f>
        <v>Thallium</v>
      </c>
      <c r="C37" s="170"/>
      <c r="D37" s="114">
        <f>IF($C$6=1,'Standards Short List'!K32,'Standards Short List'!K32)</f>
        <v>1.6999999999999999E-3</v>
      </c>
      <c r="E37" s="84"/>
      <c r="F37" s="87"/>
      <c r="G37" s="84"/>
      <c r="H37" s="118" t="str">
        <f t="shared" si="4"/>
        <v/>
      </c>
      <c r="I37" s="118" t="str">
        <f t="shared" si="2"/>
        <v/>
      </c>
      <c r="J37" s="66"/>
      <c r="K37" s="66"/>
      <c r="L37" s="66"/>
      <c r="M37" s="66"/>
    </row>
    <row r="38" spans="1:13" x14ac:dyDescent="0.2">
      <c r="A38" s="62"/>
      <c r="B38" s="169" t="str">
        <f>'Standards Short List'!B33</f>
        <v>Total Residual Chlorine</v>
      </c>
      <c r="C38" s="170"/>
      <c r="D38" s="114">
        <f>IF($C$6=1,'Standards Short List'!G33,'Standards Short List'!E33)</f>
        <v>1.0999999999999999E-2</v>
      </c>
      <c r="E38" s="84"/>
      <c r="F38" s="88"/>
      <c r="G38" s="84"/>
      <c r="H38" s="118" t="str">
        <f t="shared" si="4"/>
        <v/>
      </c>
      <c r="I38" s="118" t="str">
        <f t="shared" si="2"/>
        <v/>
      </c>
      <c r="J38" s="66"/>
      <c r="K38" s="66"/>
      <c r="L38" s="66"/>
      <c r="M38" s="66"/>
    </row>
    <row r="39" spans="1:13" ht="13.5" thickBot="1" x14ac:dyDescent="0.25">
      <c r="A39" s="62"/>
      <c r="B39" s="171" t="str">
        <f>'Standards Short List'!B34</f>
        <v>Zinc</v>
      </c>
      <c r="C39" s="172"/>
      <c r="D39" s="115">
        <f>IF($C$6=1,'Standards Short List'!G34,'Standards Short List'!E34)</f>
        <v>3.7016119739777302E-2</v>
      </c>
      <c r="E39" s="89"/>
      <c r="F39" s="90"/>
      <c r="G39" s="89"/>
      <c r="H39" s="119" t="str">
        <f t="shared" si="4"/>
        <v/>
      </c>
      <c r="I39" s="120" t="str">
        <f t="shared" si="2"/>
        <v/>
      </c>
      <c r="J39" s="66"/>
      <c r="K39" s="66"/>
      <c r="L39" s="66"/>
      <c r="M39" s="66"/>
    </row>
    <row r="40" spans="1:13" x14ac:dyDescent="0.2">
      <c r="A40" s="62"/>
      <c r="B40" s="62"/>
      <c r="C40" s="91"/>
      <c r="D40" s="62"/>
      <c r="E40" s="62"/>
      <c r="F40" s="62"/>
      <c r="G40" s="62"/>
      <c r="H40" s="62"/>
      <c r="I40" s="62"/>
      <c r="J40" s="58"/>
    </row>
    <row r="41" spans="1:13" hidden="1" x14ac:dyDescent="0.2">
      <c r="A41" s="62"/>
      <c r="B41" s="62"/>
      <c r="C41" s="91"/>
      <c r="D41" s="62"/>
      <c r="E41" s="62"/>
      <c r="F41" s="62"/>
      <c r="G41" s="62"/>
      <c r="H41" s="62" t="str">
        <f>IF(AND(I6=2,E21&gt;D21),"Yes","No")</f>
        <v>No</v>
      </c>
      <c r="I41" s="110" t="str">
        <f>IF(H21="No - Re-analyze","Questionable",IF(E21&gt;0.00008,"Yes","No"))</f>
        <v>No</v>
      </c>
      <c r="J41" s="58"/>
    </row>
    <row r="42" spans="1:13" s="58" customFormat="1" ht="15" customHeight="1" x14ac:dyDescent="0.2">
      <c r="A42" s="62"/>
      <c r="B42" s="76" t="s">
        <v>149</v>
      </c>
      <c r="C42" s="62"/>
      <c r="D42" s="62"/>
      <c r="E42" s="62"/>
      <c r="F42" s="62"/>
      <c r="G42" s="62"/>
      <c r="H42" s="62"/>
      <c r="I42" s="62"/>
    </row>
    <row r="43" spans="1:13" s="58" customFormat="1" ht="15" customHeight="1" x14ac:dyDescent="0.2">
      <c r="A43" s="62"/>
      <c r="B43" s="76" t="s">
        <v>150</v>
      </c>
      <c r="C43" s="62"/>
      <c r="D43" s="62"/>
      <c r="E43" s="62"/>
      <c r="F43" s="62"/>
      <c r="G43" s="62"/>
      <c r="H43" s="62"/>
      <c r="I43" s="62"/>
    </row>
    <row r="44" spans="1:13" s="58" customFormat="1" x14ac:dyDescent="0.2">
      <c r="B44" s="92" t="s">
        <v>151</v>
      </c>
    </row>
    <row r="45" spans="1:13" s="58" customFormat="1" x14ac:dyDescent="0.2">
      <c r="B45" s="92" t="s">
        <v>153</v>
      </c>
    </row>
    <row r="46" spans="1:13" s="58" customFormat="1" x14ac:dyDescent="0.2">
      <c r="B46" s="92"/>
    </row>
    <row r="47" spans="1:13" s="58" customFormat="1" x14ac:dyDescent="0.2"/>
    <row r="48" spans="1:13" s="58" customFormat="1" x14ac:dyDescent="0.2"/>
    <row r="49" s="58" customFormat="1" x14ac:dyDescent="0.2"/>
    <row r="50" s="58" customFormat="1" x14ac:dyDescent="0.2"/>
    <row r="51" s="58" customFormat="1" x14ac:dyDescent="0.2"/>
    <row r="52" s="58" customFormat="1" x14ac:dyDescent="0.2"/>
    <row r="53" s="58" customFormat="1" x14ac:dyDescent="0.2"/>
    <row r="54" s="58" customFormat="1" x14ac:dyDescent="0.2"/>
    <row r="55" s="58" customFormat="1" x14ac:dyDescent="0.2"/>
    <row r="56" s="58" customFormat="1" x14ac:dyDescent="0.2"/>
    <row r="57" s="58" customFormat="1" x14ac:dyDescent="0.2"/>
    <row r="58" s="58" customFormat="1" x14ac:dyDescent="0.2"/>
    <row r="59" s="58" customFormat="1" x14ac:dyDescent="0.2"/>
    <row r="60" s="58" customFormat="1" x14ac:dyDescent="0.2"/>
    <row r="61" s="58" customFormat="1" x14ac:dyDescent="0.2"/>
    <row r="62" s="58" customFormat="1" x14ac:dyDescent="0.2"/>
    <row r="63" s="58" customFormat="1" x14ac:dyDescent="0.2"/>
    <row r="64" s="58" customFormat="1" x14ac:dyDescent="0.2"/>
    <row r="65" s="58" customFormat="1" x14ac:dyDescent="0.2"/>
    <row r="66" s="58" customFormat="1" x14ac:dyDescent="0.2"/>
    <row r="67" s="58" customFormat="1" x14ac:dyDescent="0.2"/>
    <row r="68" s="58" customFormat="1" x14ac:dyDescent="0.2"/>
    <row r="69" s="58" customFormat="1" x14ac:dyDescent="0.2"/>
    <row r="70" s="58" customFormat="1" x14ac:dyDescent="0.2"/>
    <row r="71" s="58" customFormat="1" x14ac:dyDescent="0.2"/>
    <row r="72" s="58" customFormat="1" x14ac:dyDescent="0.2"/>
    <row r="73" s="58" customFormat="1" x14ac:dyDescent="0.2"/>
    <row r="74" s="58" customFormat="1" x14ac:dyDescent="0.2"/>
    <row r="75" s="58" customFormat="1" x14ac:dyDescent="0.2"/>
    <row r="76" s="58" customFormat="1" x14ac:dyDescent="0.2"/>
    <row r="77" s="58" customFormat="1" x14ac:dyDescent="0.2"/>
    <row r="78" s="58" customFormat="1" x14ac:dyDescent="0.2"/>
    <row r="79" s="58" customFormat="1" x14ac:dyDescent="0.2"/>
    <row r="80" s="58" customFormat="1" x14ac:dyDescent="0.2"/>
    <row r="81" s="58" customFormat="1" x14ac:dyDescent="0.2"/>
    <row r="82" s="58" customFormat="1" x14ac:dyDescent="0.2"/>
    <row r="83" s="58" customFormat="1" x14ac:dyDescent="0.2"/>
    <row r="84" s="58" customFormat="1" x14ac:dyDescent="0.2"/>
    <row r="85" s="58" customFormat="1" x14ac:dyDescent="0.2"/>
    <row r="86" s="58" customFormat="1" x14ac:dyDescent="0.2"/>
    <row r="87" s="58" customFormat="1" x14ac:dyDescent="0.2"/>
    <row r="88" s="58" customFormat="1" x14ac:dyDescent="0.2"/>
    <row r="89" s="58" customFormat="1" x14ac:dyDescent="0.2"/>
    <row r="90" s="58" customFormat="1" x14ac:dyDescent="0.2"/>
    <row r="91" s="58" customFormat="1" x14ac:dyDescent="0.2"/>
    <row r="92" s="58" customFormat="1" x14ac:dyDescent="0.2"/>
    <row r="93" s="58" customFormat="1" x14ac:dyDescent="0.2"/>
    <row r="94" s="58" customFormat="1" x14ac:dyDescent="0.2"/>
    <row r="95" s="58" customFormat="1" x14ac:dyDescent="0.2"/>
    <row r="96" s="58" customFormat="1" x14ac:dyDescent="0.2"/>
    <row r="97" s="58" customFormat="1" x14ac:dyDescent="0.2"/>
    <row r="98" s="58" customFormat="1" x14ac:dyDescent="0.2"/>
    <row r="99" s="58" customFormat="1" x14ac:dyDescent="0.2"/>
    <row r="100" s="58" customFormat="1" x14ac:dyDescent="0.2"/>
    <row r="101" s="58" customFormat="1" x14ac:dyDescent="0.2"/>
    <row r="102" s="58" customFormat="1" x14ac:dyDescent="0.2"/>
    <row r="103" s="58" customFormat="1" x14ac:dyDescent="0.2"/>
    <row r="104" s="58" customFormat="1" x14ac:dyDescent="0.2"/>
    <row r="105" s="58" customFormat="1" x14ac:dyDescent="0.2"/>
    <row r="106" s="58" customFormat="1" x14ac:dyDescent="0.2"/>
    <row r="107" s="58" customFormat="1" x14ac:dyDescent="0.2"/>
    <row r="108" s="58" customFormat="1" x14ac:dyDescent="0.2"/>
    <row r="109" s="58" customFormat="1" x14ac:dyDescent="0.2"/>
    <row r="110" s="58" customFormat="1" x14ac:dyDescent="0.2"/>
    <row r="111" s="58" customFormat="1" x14ac:dyDescent="0.2"/>
    <row r="112" s="58" customFormat="1" x14ac:dyDescent="0.2"/>
    <row r="113" s="58" customFormat="1" x14ac:dyDescent="0.2"/>
    <row r="114" s="58" customFormat="1" x14ac:dyDescent="0.2"/>
    <row r="115" s="58" customFormat="1" x14ac:dyDescent="0.2"/>
    <row r="116" s="58" customFormat="1" x14ac:dyDescent="0.2"/>
    <row r="117" s="58" customFormat="1" x14ac:dyDescent="0.2"/>
    <row r="118" s="58" customFormat="1" x14ac:dyDescent="0.2"/>
    <row r="119" s="58" customFormat="1" x14ac:dyDescent="0.2"/>
    <row r="120" s="58" customFormat="1" x14ac:dyDescent="0.2"/>
    <row r="121" s="58" customFormat="1" x14ac:dyDescent="0.2"/>
    <row r="122" s="58" customFormat="1" x14ac:dyDescent="0.2"/>
    <row r="123" s="58" customFormat="1" x14ac:dyDescent="0.2"/>
    <row r="124" s="58" customFormat="1" x14ac:dyDescent="0.2"/>
    <row r="125" s="58" customFormat="1" x14ac:dyDescent="0.2"/>
    <row r="126" s="58" customFormat="1" x14ac:dyDescent="0.2"/>
    <row r="127" s="58" customFormat="1" x14ac:dyDescent="0.2"/>
    <row r="128" s="58" customFormat="1" x14ac:dyDescent="0.2"/>
    <row r="129" s="58" customFormat="1" x14ac:dyDescent="0.2"/>
    <row r="130" s="58" customFormat="1" x14ac:dyDescent="0.2"/>
    <row r="131" s="58" customFormat="1" x14ac:dyDescent="0.2"/>
    <row r="132" s="58" customFormat="1" x14ac:dyDescent="0.2"/>
    <row r="133" s="58" customFormat="1" x14ac:dyDescent="0.2"/>
    <row r="134" s="58" customFormat="1" x14ac:dyDescent="0.2"/>
    <row r="135" s="58" customFormat="1" x14ac:dyDescent="0.2"/>
    <row r="136" s="58" customFormat="1" x14ac:dyDescent="0.2"/>
    <row r="137" s="58" customFormat="1" x14ac:dyDescent="0.2"/>
    <row r="138" s="58" customFormat="1" x14ac:dyDescent="0.2"/>
    <row r="139" s="58" customFormat="1" x14ac:dyDescent="0.2"/>
    <row r="140" s="58" customFormat="1" x14ac:dyDescent="0.2"/>
    <row r="141" s="58" customFormat="1" x14ac:dyDescent="0.2"/>
    <row r="142" s="58" customFormat="1" x14ac:dyDescent="0.2"/>
    <row r="143" s="58" customFormat="1" x14ac:dyDescent="0.2"/>
    <row r="144" s="58" customFormat="1" x14ac:dyDescent="0.2"/>
    <row r="145" s="58" customFormat="1" x14ac:dyDescent="0.2"/>
    <row r="146" s="58" customFormat="1" x14ac:dyDescent="0.2"/>
    <row r="147" s="58" customFormat="1" x14ac:dyDescent="0.2"/>
    <row r="148" s="58" customFormat="1" x14ac:dyDescent="0.2"/>
    <row r="149" s="58" customFormat="1" x14ac:dyDescent="0.2"/>
    <row r="150" s="58" customFormat="1" x14ac:dyDescent="0.2"/>
    <row r="151" s="58" customFormat="1" x14ac:dyDescent="0.2"/>
    <row r="152" s="58" customFormat="1" x14ac:dyDescent="0.2"/>
    <row r="153" s="58" customFormat="1" x14ac:dyDescent="0.2"/>
    <row r="154" s="58" customFormat="1" x14ac:dyDescent="0.2"/>
    <row r="155" s="58" customFormat="1" x14ac:dyDescent="0.2"/>
    <row r="156" s="58" customFormat="1" x14ac:dyDescent="0.2"/>
    <row r="157" s="58" customFormat="1" x14ac:dyDescent="0.2"/>
    <row r="158" s="58" customFormat="1" x14ac:dyDescent="0.2"/>
    <row r="159" s="58" customFormat="1" x14ac:dyDescent="0.2"/>
    <row r="160" s="58" customFormat="1" x14ac:dyDescent="0.2"/>
    <row r="161" s="58" customFormat="1" x14ac:dyDescent="0.2"/>
    <row r="162" s="58" customFormat="1" x14ac:dyDescent="0.2"/>
    <row r="163" s="58" customFormat="1" x14ac:dyDescent="0.2"/>
    <row r="164" s="58" customFormat="1" x14ac:dyDescent="0.2"/>
    <row r="165" s="58" customFormat="1" x14ac:dyDescent="0.2"/>
    <row r="166" s="58" customFormat="1" x14ac:dyDescent="0.2"/>
    <row r="167" s="58" customFormat="1" x14ac:dyDescent="0.2"/>
    <row r="168" s="58" customFormat="1" x14ac:dyDescent="0.2"/>
    <row r="169" s="58" customFormat="1" x14ac:dyDescent="0.2"/>
    <row r="170" s="58" customFormat="1" x14ac:dyDescent="0.2"/>
    <row r="171" s="58" customFormat="1" x14ac:dyDescent="0.2"/>
    <row r="172" s="58" customFormat="1" x14ac:dyDescent="0.2"/>
    <row r="173" s="58" customFormat="1" x14ac:dyDescent="0.2"/>
    <row r="174" s="58" customFormat="1" x14ac:dyDescent="0.2"/>
    <row r="175" s="58" customFormat="1" x14ac:dyDescent="0.2"/>
    <row r="176" s="58" customFormat="1" x14ac:dyDescent="0.2"/>
    <row r="177" s="58" customFormat="1" x14ac:dyDescent="0.2"/>
    <row r="178" s="58" customFormat="1" x14ac:dyDescent="0.2"/>
    <row r="179" s="58" customFormat="1" x14ac:dyDescent="0.2"/>
    <row r="180" s="58" customFormat="1" x14ac:dyDescent="0.2"/>
    <row r="181" s="58" customFormat="1" x14ac:dyDescent="0.2"/>
    <row r="182" s="58" customFormat="1" x14ac:dyDescent="0.2"/>
    <row r="183" s="58" customFormat="1" x14ac:dyDescent="0.2"/>
    <row r="184" s="58" customFormat="1" x14ac:dyDescent="0.2"/>
    <row r="185" s="58" customFormat="1" x14ac:dyDescent="0.2"/>
    <row r="186" s="58" customFormat="1" x14ac:dyDescent="0.2"/>
    <row r="187" s="58" customFormat="1" x14ac:dyDescent="0.2"/>
    <row r="188" s="58" customFormat="1" x14ac:dyDescent="0.2"/>
    <row r="189" s="58" customFormat="1" x14ac:dyDescent="0.2"/>
    <row r="190" s="58" customFormat="1" x14ac:dyDescent="0.2"/>
    <row r="191" s="58" customFormat="1" x14ac:dyDescent="0.2"/>
    <row r="192" s="58" customFormat="1" x14ac:dyDescent="0.2"/>
    <row r="193" s="58" customFormat="1" x14ac:dyDescent="0.2"/>
    <row r="194" s="58" customFormat="1" x14ac:dyDescent="0.2"/>
    <row r="195" s="58" customFormat="1" x14ac:dyDescent="0.2"/>
    <row r="196" s="58" customFormat="1" x14ac:dyDescent="0.2"/>
    <row r="197" s="58" customFormat="1" x14ac:dyDescent="0.2"/>
    <row r="198" s="58" customFormat="1" x14ac:dyDescent="0.2"/>
    <row r="199" s="58" customFormat="1" x14ac:dyDescent="0.2"/>
    <row r="200" s="58" customFormat="1" x14ac:dyDescent="0.2"/>
    <row r="201" s="58" customFormat="1" x14ac:dyDescent="0.2"/>
    <row r="202" s="58" customFormat="1" x14ac:dyDescent="0.2"/>
    <row r="203" s="58" customFormat="1" x14ac:dyDescent="0.2"/>
  </sheetData>
  <sheetProtection password="CCE9" sheet="1" objects="1" scenarios="1" selectLockedCells="1"/>
  <mergeCells count="40">
    <mergeCell ref="A1:I1"/>
    <mergeCell ref="C3:G3"/>
    <mergeCell ref="C4:G4"/>
    <mergeCell ref="C5:E5"/>
    <mergeCell ref="B9:C12"/>
    <mergeCell ref="E9:H10"/>
    <mergeCell ref="I9:I12"/>
    <mergeCell ref="B19:C19"/>
    <mergeCell ref="J9:K9"/>
    <mergeCell ref="J10:K10"/>
    <mergeCell ref="E11:E12"/>
    <mergeCell ref="F11:F12"/>
    <mergeCell ref="G11:G12"/>
    <mergeCell ref="H11:H12"/>
    <mergeCell ref="B13:C13"/>
    <mergeCell ref="B15:C15"/>
    <mergeCell ref="B16:C16"/>
    <mergeCell ref="B17:C17"/>
    <mergeCell ref="B18:C18"/>
    <mergeCell ref="B14:C14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32:C32"/>
    <mergeCell ref="B33:C33"/>
    <mergeCell ref="B34:C34"/>
    <mergeCell ref="B35:C35"/>
    <mergeCell ref="B36:C36"/>
    <mergeCell ref="B37:C37"/>
  </mergeCells>
  <conditionalFormatting sqref="I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3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" right="0.2" top="0.25" bottom="0.2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114300</xdr:colOff>
                    <xdr:row>5</xdr:row>
                    <xdr:rowOff>47625</xdr:rowOff>
                  </from>
                  <to>
                    <xdr:col>3</xdr:col>
                    <xdr:colOff>419100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8</xdr:col>
                    <xdr:colOff>161925</xdr:colOff>
                    <xdr:row>5</xdr:row>
                    <xdr:rowOff>38100</xdr:rowOff>
                  </from>
                  <to>
                    <xdr:col>8</xdr:col>
                    <xdr:colOff>1104900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66675</xdr:rowOff>
                  </from>
                  <to>
                    <xdr:col>3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2</xdr:col>
                    <xdr:colOff>628650</xdr:colOff>
                    <xdr:row>5</xdr:row>
                    <xdr:rowOff>57150</xdr:rowOff>
                  </from>
                  <to>
                    <xdr:col>3</xdr:col>
                    <xdr:colOff>400050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57150</xdr:rowOff>
                  </from>
                  <to>
                    <xdr:col>8</xdr:col>
                    <xdr:colOff>609600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8</xdr:col>
                    <xdr:colOff>704850</xdr:colOff>
                    <xdr:row>5</xdr:row>
                    <xdr:rowOff>57150</xdr:rowOff>
                  </from>
                  <to>
                    <xdr:col>8</xdr:col>
                    <xdr:colOff>1085850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F0DAD681E8C44AD450522B151DEB0" ma:contentTypeVersion="6" ma:contentTypeDescription="Create a new document." ma:contentTypeScope="" ma:versionID="4b6c30fadfa7a5767ccf94fca824e3d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19DB5C-D23F-4728-8A5B-1CF5CD519BFA}"/>
</file>

<file path=customXml/itemProps2.xml><?xml version="1.0" encoding="utf-8"?>
<ds:datastoreItem xmlns:ds="http://schemas.openxmlformats.org/officeDocument/2006/customXml" ds:itemID="{F9A553E2-0AC0-4470-8174-07B68CFD42B0}"/>
</file>

<file path=customXml/itemProps3.xml><?xml version="1.0" encoding="utf-8"?>
<ds:datastoreItem xmlns:ds="http://schemas.openxmlformats.org/officeDocument/2006/customXml" ds:itemID="{7730B626-0743-41C9-A01E-2E1AB85AF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Translator</vt:lpstr>
      <vt:lpstr>Standards</vt:lpstr>
      <vt:lpstr>Standards Short List</vt:lpstr>
      <vt:lpstr>POC Assessment</vt:lpstr>
      <vt:lpstr>Standards!Criteria</vt:lpstr>
      <vt:lpstr>'POC Assessment'!Print_Area</vt:lpstr>
      <vt:lpstr>'Standards Short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wv dep</dc:creator>
  <cp:lastModifiedBy>Anderson, Carol Y</cp:lastModifiedBy>
  <cp:lastPrinted>2012-08-08T19:12:32Z</cp:lastPrinted>
  <dcterms:created xsi:type="dcterms:W3CDTF">2003-06-12T11:19:34Z</dcterms:created>
  <dcterms:modified xsi:type="dcterms:W3CDTF">2013-12-03T14:27:01Z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0x010100E60F0DAD681E8C44AD450522B151DEB0</vt:lpwstr>
  </property>
  <property fmtid="{D5CDD505-2E9C-101B-9397-08002B2CF9AE}" pid="3" name="Order">
    <vt:r8>14500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