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AIR_QUALITY\PERMITTING\Signed Permits\"/>
    </mc:Choice>
  </mc:AlternateContent>
  <bookViews>
    <workbookView xWindow="-90" yWindow="-135" windowWidth="20730" windowHeight="6180" tabRatio="901" firstSheet="2" activeTab="4"/>
  </bookViews>
  <sheets>
    <sheet name="Facility Summary" sheetId="43" r:id="rId1"/>
    <sheet name="CT - Steady State" sheetId="46" r:id="rId2"/>
    <sheet name="CT Startups&amp;Shutdowns" sheetId="42" r:id="rId3"/>
    <sheet name="Auxiliary Boiler " sheetId="26" r:id="rId4"/>
    <sheet name="Fuel Gas Heater" sheetId="55" r:id="rId5"/>
    <sheet name="Emergency Generator" sheetId="45" r:id="rId6"/>
    <sheet name="Fire Water Pump " sheetId="39" r:id="rId7"/>
    <sheet name="Project HAPS" sheetId="58" r:id="rId8"/>
    <sheet name="Circuit Breakers SF6" sheetId="52" r:id="rId9"/>
    <sheet name="HARRISON T218 REV D 10042016" sheetId="62" r:id="rId10"/>
    <sheet name="HARRISON Cus Notes REV D" sheetId="63" r:id="rId11"/>
    <sheet name="Stack Parameters" sheetId="50" r:id="rId12"/>
  </sheets>
  <externalReferences>
    <externalReference r:id="rId13"/>
  </externalReferences>
  <definedNames>
    <definedName name="__Key1" hidden="1">'[1]DETAIL 07'!$I$2:$I$2</definedName>
    <definedName name="_Key1" localSheetId="4" hidden="1">#REF!</definedName>
    <definedName name="_Key1" localSheetId="7" hidden="1">#REF!</definedName>
    <definedName name="_Key1" hidden="1">#REF!</definedName>
    <definedName name="_Key2" localSheetId="4" hidden="1">#REF!</definedName>
    <definedName name="_Key2" localSheetId="7" hidden="1">#REF!</definedName>
    <definedName name="_Key2" hidden="1">#REF!</definedName>
    <definedName name="_Order1" hidden="1">255</definedName>
    <definedName name="_Order2" hidden="1">255</definedName>
    <definedName name="_Regression_Out" localSheetId="4" hidden="1">#REF!</definedName>
    <definedName name="_Regression_Out" localSheetId="7" hidden="1">#REF!</definedName>
    <definedName name="_Regression_Out" hidden="1">#REF!</definedName>
    <definedName name="_Regression_X" localSheetId="4" hidden="1">#REF!</definedName>
    <definedName name="_Regression_X" localSheetId="7" hidden="1">#REF!</definedName>
    <definedName name="_Regression_X" hidden="1">#REF!</definedName>
    <definedName name="_Regression_Y" localSheetId="4" hidden="1">#REF!</definedName>
    <definedName name="_Regression_Y" localSheetId="7" hidden="1">#REF!</definedName>
    <definedName name="_Regression_Y" hidden="1">#REF!</definedName>
    <definedName name="_Sort" localSheetId="4" hidden="1">#REF!</definedName>
    <definedName name="_Sort" localSheetId="7" hidden="1">#REF!</definedName>
    <definedName name="_Sort" hidden="1">#REF!</definedName>
    <definedName name="AuxBoilerHAP">'Auxiliary Boiler '!$A$59:$D$77</definedName>
    <definedName name="CTHAP" localSheetId="7">'Project HAPS'!$A$9:$I$32</definedName>
    <definedName name="CTHAP">#REF!</definedName>
    <definedName name="_xlnm.Database" localSheetId="4">#REF!</definedName>
    <definedName name="_xlnm.Database" localSheetId="7">#REF!</definedName>
    <definedName name="_xlnm.Database">#REF!</definedName>
    <definedName name="DB" localSheetId="4">#REF!</definedName>
    <definedName name="DB" localSheetId="7">#REF!</definedName>
    <definedName name="DB">#REF!</definedName>
    <definedName name="EFR" localSheetId="4">#REF!</definedName>
    <definedName name="EFR" localSheetId="7">#REF!</definedName>
    <definedName name="EFR">#REF!</definedName>
    <definedName name="EGenHAP">'Emergency Generator'!$A$54:$D$63</definedName>
    <definedName name="Em_St" localSheetId="4">#REF!</definedName>
    <definedName name="Em_St" localSheetId="7">#REF!</definedName>
    <definedName name="Em_St">#REF!</definedName>
    <definedName name="emission1" localSheetId="4">#REF!</definedName>
    <definedName name="emission1" localSheetId="7">#REF!</definedName>
    <definedName name="emission1">#REF!</definedName>
    <definedName name="FacilityHAP" localSheetId="7">'Project HAPS'!$A$42:$N$64</definedName>
    <definedName name="FacilityHAP">'Project HAPS'!$A$42:$N$64</definedName>
    <definedName name="FGHeaterHAP" localSheetId="4">#REF!</definedName>
    <definedName name="FGHeaterHAP" localSheetId="7">#REF!</definedName>
    <definedName name="FGHeaterHAP">#REF!</definedName>
    <definedName name="FireWaterHAP">'Fire Water Pump '!$A$54:$D$62</definedName>
    <definedName name="fix" localSheetId="4">#REF!</definedName>
    <definedName name="fix" localSheetId="7">#REF!</definedName>
    <definedName name="fix">#REF!</definedName>
    <definedName name="FuelGasHAP">'Fuel Gas Heater'!$A$59:$D$77</definedName>
    <definedName name="HAP" localSheetId="4">#REF!</definedName>
    <definedName name="HAP" localSheetId="7">#REF!</definedName>
    <definedName name="HAP">#REF!</definedName>
    <definedName name="HAP_Emissons" localSheetId="4">#REF!</definedName>
    <definedName name="HAP_Emissons" localSheetId="7">#REF!</definedName>
    <definedName name="HAP_Emissons">#REF!</definedName>
    <definedName name="HAP_Speciation" localSheetId="4">#REF!</definedName>
    <definedName name="HAP_Speciation" localSheetId="7">#REF!</definedName>
    <definedName name="HAP_Speciation">#REF!</definedName>
    <definedName name="Op" localSheetId="4">#REF!</definedName>
    <definedName name="Op" localSheetId="7">#REF!</definedName>
    <definedName name="Op">#REF!</definedName>
    <definedName name="_xlnm.Print_Area" localSheetId="3">'Auxiliary Boiler '!$A$1:$I$81</definedName>
    <definedName name="_xlnm.Print_Area" localSheetId="8">'Circuit Breakers SF6'!$A$1:$H$12</definedName>
    <definedName name="_xlnm.Print_Area" localSheetId="1">'CT - Steady State'!$A$1:$H$29</definedName>
    <definedName name="_xlnm.Print_Area" localSheetId="2">'CT Startups&amp;Shutdowns'!$A$1:$H$32</definedName>
    <definedName name="_xlnm.Print_Area" localSheetId="5">'Emergency Generator'!$A$1:$G$67</definedName>
    <definedName name="_xlnm.Print_Area" localSheetId="0">'Facility Summary'!$A$1:$K$110</definedName>
    <definedName name="_xlnm.Print_Area" localSheetId="6">'Fire Water Pump '!$A$1:$G$66</definedName>
    <definedName name="_xlnm.Print_Area" localSheetId="4">'Fuel Gas Heater'!$A$1:$F$81</definedName>
    <definedName name="_xlnm.Print_Area" localSheetId="7">'Project HAPS'!$A$1:$N$67</definedName>
    <definedName name="_xlnm.Print_Titles" localSheetId="9">'HARRISON T218 REV D 10042016'!$A:$B,'HARRISON T218 REV D 10042016'!$1:$3</definedName>
    <definedName name="RANGE1" localSheetId="4">#REF!</definedName>
    <definedName name="RANGE1" localSheetId="7">#REF!</definedName>
    <definedName name="RANGE1">#REF!</definedName>
    <definedName name="RANGE2" localSheetId="4">#REF!</definedName>
    <definedName name="RANGE2" localSheetId="7">#REF!</definedName>
    <definedName name="RANGE2">#REF!</definedName>
    <definedName name="wrn.G6input." localSheetId="2" hidden="1">{#N/A,#N/A,FALSE,"Emission Calcs";#N/A,#N/A,FALSE,"Equipment Summary";#N/A,#N/A,FALSE,"PRODUCTION SUMMARY "}</definedName>
    <definedName name="wrn.G6input." localSheetId="5" hidden="1">{#N/A,#N/A,FALSE,"Emission Calcs";#N/A,#N/A,FALSE,"Equipment Summary";#N/A,#N/A,FALSE,"PRODUCTION SUMMARY "}</definedName>
    <definedName name="wrn.G6input." localSheetId="0" hidden="1">{#N/A,#N/A,FALSE,"Emission Calcs";#N/A,#N/A,FALSE,"Equipment Summary";#N/A,#N/A,FALSE,"PRODUCTION SUMMARY "}</definedName>
    <definedName name="wrn.G6input." localSheetId="6" hidden="1">{#N/A,#N/A,FALSE,"Emission Calcs";#N/A,#N/A,FALSE,"Equipment Summary";#N/A,#N/A,FALSE,"PRODUCTION SUMMARY "}</definedName>
    <definedName name="wrn.G6input." localSheetId="7" hidden="1">{#N/A,#N/A,FALSE,"Emission Calcs";#N/A,#N/A,FALSE,"Equipment Summary";#N/A,#N/A,FALSE,"PRODUCTION SUMMARY "}</definedName>
    <definedName name="wrn.G6input." hidden="1">{#N/A,#N/A,FALSE,"Emission Calcs";#N/A,#N/A,FALSE,"Equipment Summary";#N/A,#N/A,FALSE,"PRODUCTION SUMMARY "}</definedName>
  </definedNames>
  <calcPr calcId="171027"/>
</workbook>
</file>

<file path=xl/calcChain.xml><?xml version="1.0" encoding="utf-8"?>
<calcChain xmlns="http://schemas.openxmlformats.org/spreadsheetml/2006/main">
  <c r="B9" i="46" l="1"/>
  <c r="E34" i="50"/>
  <c r="E36" i="50"/>
  <c r="E29" i="50"/>
  <c r="D29" i="50"/>
  <c r="E31" i="50"/>
  <c r="C93" i="62"/>
  <c r="C91" i="62"/>
  <c r="C89" i="62"/>
  <c r="C88" i="62"/>
  <c r="C87" i="62"/>
  <c r="C83" i="62"/>
  <c r="C82" i="62"/>
  <c r="E33" i="50" l="1"/>
  <c r="E32" i="50" s="1"/>
  <c r="P11" i="58"/>
  <c r="P12" i="58"/>
  <c r="O13" i="58"/>
  <c r="O15" i="58"/>
  <c r="O16" i="58"/>
  <c r="O17" i="58"/>
  <c r="O18" i="58"/>
  <c r="P19" i="58"/>
  <c r="O20" i="58"/>
  <c r="O21" i="58"/>
  <c r="O23" i="58"/>
  <c r="O24" i="58"/>
  <c r="O25" i="58"/>
  <c r="O27" i="58"/>
  <c r="O28" i="58"/>
  <c r="P29" i="58"/>
  <c r="O30" i="58"/>
  <c r="P32" i="58"/>
  <c r="O10" i="58"/>
  <c r="E32" i="58"/>
  <c r="E29" i="58"/>
  <c r="E19" i="58"/>
  <c r="E12" i="58"/>
  <c r="E11" i="58"/>
  <c r="D50" i="62" l="1"/>
  <c r="E50" i="62"/>
  <c r="F50" i="62"/>
  <c r="G50" i="62"/>
  <c r="H50" i="62"/>
  <c r="I50" i="62"/>
  <c r="J50" i="62"/>
  <c r="K50" i="62"/>
  <c r="L50" i="62"/>
  <c r="M50" i="62"/>
  <c r="N50" i="62"/>
  <c r="O50" i="62"/>
  <c r="P50" i="62"/>
  <c r="Q50" i="62"/>
  <c r="R50" i="62"/>
  <c r="S50" i="62"/>
  <c r="T50" i="62"/>
  <c r="U50" i="62"/>
  <c r="V50" i="62"/>
  <c r="W50" i="62"/>
  <c r="X50" i="62"/>
  <c r="Y50" i="62"/>
  <c r="Z50" i="62"/>
  <c r="AA50" i="62"/>
  <c r="AB50" i="62"/>
  <c r="AC50" i="62"/>
  <c r="C50" i="62"/>
  <c r="AD50" i="62" l="1"/>
  <c r="AF50" i="62"/>
  <c r="D2" i="50" s="1"/>
  <c r="AE50" i="62"/>
  <c r="D23" i="58" l="1"/>
  <c r="C105" i="62"/>
  <c r="B6" i="46" s="1"/>
  <c r="C104" i="62"/>
  <c r="B5" i="46" s="1"/>
  <c r="E12" i="46"/>
  <c r="E9" i="46"/>
  <c r="D73" i="62" l="1"/>
  <c r="E73" i="62"/>
  <c r="F73" i="62"/>
  <c r="G73" i="62"/>
  <c r="H73" i="62"/>
  <c r="I73" i="62"/>
  <c r="J73" i="62"/>
  <c r="K73" i="62"/>
  <c r="L73" i="62"/>
  <c r="M73" i="62"/>
  <c r="N73" i="62"/>
  <c r="O73" i="62"/>
  <c r="P73" i="62"/>
  <c r="Q73" i="62"/>
  <c r="R73" i="62"/>
  <c r="S73" i="62"/>
  <c r="T73" i="62"/>
  <c r="U73" i="62"/>
  <c r="V73" i="62"/>
  <c r="W73" i="62"/>
  <c r="X73" i="62"/>
  <c r="Y73" i="62"/>
  <c r="Z73" i="62"/>
  <c r="AA73" i="62"/>
  <c r="AB73" i="62"/>
  <c r="AC73" i="62"/>
  <c r="D74" i="62"/>
  <c r="D75" i="62" s="1"/>
  <c r="E74" i="62"/>
  <c r="E75" i="62" s="1"/>
  <c r="F74" i="62"/>
  <c r="F75" i="62" s="1"/>
  <c r="G74" i="62"/>
  <c r="G75" i="62" s="1"/>
  <c r="H74" i="62"/>
  <c r="H75" i="62" s="1"/>
  <c r="I74" i="62"/>
  <c r="I75" i="62" s="1"/>
  <c r="J74" i="62"/>
  <c r="J75" i="62" s="1"/>
  <c r="K74" i="62"/>
  <c r="K75" i="62" s="1"/>
  <c r="L74" i="62"/>
  <c r="L75" i="62" s="1"/>
  <c r="M74" i="62"/>
  <c r="M75" i="62" s="1"/>
  <c r="N74" i="62"/>
  <c r="N75" i="62" s="1"/>
  <c r="O74" i="62"/>
  <c r="O75" i="62" s="1"/>
  <c r="P74" i="62"/>
  <c r="P75" i="62" s="1"/>
  <c r="Q74" i="62"/>
  <c r="Q75" i="62" s="1"/>
  <c r="R74" i="62"/>
  <c r="R75" i="62" s="1"/>
  <c r="S74" i="62"/>
  <c r="S75" i="62" s="1"/>
  <c r="T74" i="62"/>
  <c r="T75" i="62" s="1"/>
  <c r="U74" i="62"/>
  <c r="U75" i="62" s="1"/>
  <c r="V74" i="62"/>
  <c r="V75" i="62" s="1"/>
  <c r="W74" i="62"/>
  <c r="W75" i="62" s="1"/>
  <c r="X74" i="62"/>
  <c r="X75" i="62" s="1"/>
  <c r="Y74" i="62"/>
  <c r="Y75" i="62" s="1"/>
  <c r="Z74" i="62"/>
  <c r="Z75" i="62" s="1"/>
  <c r="AA74" i="62"/>
  <c r="AA75" i="62" s="1"/>
  <c r="AB74" i="62"/>
  <c r="AB75" i="62" s="1"/>
  <c r="AC74" i="62"/>
  <c r="AC75" i="62" s="1"/>
  <c r="D67" i="62"/>
  <c r="E67" i="62"/>
  <c r="F67" i="62"/>
  <c r="G67" i="62"/>
  <c r="H67" i="62"/>
  <c r="I67" i="62"/>
  <c r="J67" i="62"/>
  <c r="K67" i="62"/>
  <c r="L67" i="62"/>
  <c r="M67" i="62"/>
  <c r="N67" i="62"/>
  <c r="O67" i="62"/>
  <c r="P67" i="62"/>
  <c r="Q67" i="62"/>
  <c r="R67" i="62"/>
  <c r="S67" i="62"/>
  <c r="T67" i="62"/>
  <c r="U67" i="62"/>
  <c r="V67" i="62"/>
  <c r="W67" i="62"/>
  <c r="X67" i="62"/>
  <c r="Y67" i="62"/>
  <c r="Z67" i="62"/>
  <c r="AA67" i="62"/>
  <c r="AB67" i="62"/>
  <c r="AC67" i="62"/>
  <c r="D68" i="62"/>
  <c r="D69" i="62" s="1"/>
  <c r="E68" i="62"/>
  <c r="E69" i="62" s="1"/>
  <c r="F68" i="62"/>
  <c r="G68" i="62"/>
  <c r="G69" i="62" s="1"/>
  <c r="H68" i="62"/>
  <c r="H69" i="62" s="1"/>
  <c r="I68" i="62"/>
  <c r="I69" i="62" s="1"/>
  <c r="J68" i="62"/>
  <c r="J69" i="62" s="1"/>
  <c r="K68" i="62"/>
  <c r="K69" i="62" s="1"/>
  <c r="L68" i="62"/>
  <c r="L69" i="62" s="1"/>
  <c r="M68" i="62"/>
  <c r="M69" i="62" s="1"/>
  <c r="N68" i="62"/>
  <c r="N69" i="62" s="1"/>
  <c r="O68" i="62"/>
  <c r="O69" i="62" s="1"/>
  <c r="P68" i="62"/>
  <c r="P69" i="62" s="1"/>
  <c r="Q68" i="62"/>
  <c r="Q69" i="62" s="1"/>
  <c r="R68" i="62"/>
  <c r="R69" i="62" s="1"/>
  <c r="S68" i="62"/>
  <c r="S69" i="62" s="1"/>
  <c r="T68" i="62"/>
  <c r="T69" i="62" s="1"/>
  <c r="U68" i="62"/>
  <c r="U69" i="62" s="1"/>
  <c r="V68" i="62"/>
  <c r="V69" i="62" s="1"/>
  <c r="W68" i="62"/>
  <c r="W69" i="62" s="1"/>
  <c r="X68" i="62"/>
  <c r="X69" i="62" s="1"/>
  <c r="Y68" i="62"/>
  <c r="Y69" i="62" s="1"/>
  <c r="Z68" i="62"/>
  <c r="Z69" i="62" s="1"/>
  <c r="AA68" i="62"/>
  <c r="AA69" i="62" s="1"/>
  <c r="AB68" i="62"/>
  <c r="AB69" i="62" s="1"/>
  <c r="AC68" i="62"/>
  <c r="AC69" i="62" s="1"/>
  <c r="F69" i="62"/>
  <c r="C68" i="62"/>
  <c r="C67" i="62"/>
  <c r="E5" i="46"/>
  <c r="G5" i="46" s="1"/>
  <c r="E7" i="46"/>
  <c r="E6" i="46"/>
  <c r="C74" i="62"/>
  <c r="C73" i="62"/>
  <c r="C92" i="62" s="1"/>
  <c r="B112" i="62"/>
  <c r="B110" i="62"/>
  <c r="B108" i="62"/>
  <c r="C90" i="62" l="1"/>
  <c r="G61" i="62"/>
  <c r="K61" i="62"/>
  <c r="O61" i="62"/>
  <c r="S61" i="62"/>
  <c r="W61" i="62"/>
  <c r="AA61" i="62"/>
  <c r="F61" i="62"/>
  <c r="R61" i="62"/>
  <c r="D61" i="62"/>
  <c r="H61" i="62"/>
  <c r="L61" i="62"/>
  <c r="P61" i="62"/>
  <c r="T61" i="62"/>
  <c r="X61" i="62"/>
  <c r="AB61" i="62"/>
  <c r="C61" i="62"/>
  <c r="J61" i="62"/>
  <c r="Z61" i="62"/>
  <c r="E61" i="62"/>
  <c r="I61" i="62"/>
  <c r="M61" i="62"/>
  <c r="Q61" i="62"/>
  <c r="U61" i="62"/>
  <c r="Y61" i="62"/>
  <c r="AC61" i="62"/>
  <c r="N61" i="62"/>
  <c r="V61" i="62"/>
  <c r="C4" i="58"/>
  <c r="B10" i="46"/>
  <c r="AE74" i="62"/>
  <c r="AE67" i="62"/>
  <c r="AD73" i="62"/>
  <c r="E11" i="46"/>
  <c r="D4" i="58"/>
  <c r="B11" i="46"/>
  <c r="AF68" i="62"/>
  <c r="E60" i="62"/>
  <c r="I60" i="62"/>
  <c r="M60" i="62"/>
  <c r="Q60" i="62"/>
  <c r="U60" i="62"/>
  <c r="Y60" i="62"/>
  <c r="AC60" i="62"/>
  <c r="H60" i="62"/>
  <c r="P60" i="62"/>
  <c r="X60" i="62"/>
  <c r="F60" i="62"/>
  <c r="F63" i="62" s="1"/>
  <c r="J60" i="62"/>
  <c r="N60" i="62"/>
  <c r="R60" i="62"/>
  <c r="V60" i="62"/>
  <c r="V63" i="62" s="1"/>
  <c r="Z60" i="62"/>
  <c r="T60" i="62"/>
  <c r="G60" i="62"/>
  <c r="K60" i="62"/>
  <c r="O60" i="62"/>
  <c r="S60" i="62"/>
  <c r="W60" i="62"/>
  <c r="AA60" i="62"/>
  <c r="C60" i="62"/>
  <c r="D60" i="62"/>
  <c r="L60" i="62"/>
  <c r="AB60" i="62"/>
  <c r="C84" i="62"/>
  <c r="AF73" i="62"/>
  <c r="AE68" i="62"/>
  <c r="E8" i="46"/>
  <c r="AF67" i="62"/>
  <c r="AF74" i="62"/>
  <c r="AE73" i="62"/>
  <c r="AD67" i="62"/>
  <c r="AD74" i="62"/>
  <c r="AD68" i="62"/>
  <c r="C69" i="62"/>
  <c r="C98" i="62" s="1"/>
  <c r="C75" i="62"/>
  <c r="C100" i="62" s="1"/>
  <c r="AF72" i="62"/>
  <c r="AE72" i="62"/>
  <c r="AD72" i="62"/>
  <c r="AC71" i="62"/>
  <c r="AB71" i="62"/>
  <c r="AA71" i="62"/>
  <c r="Z71" i="62"/>
  <c r="Y71" i="62"/>
  <c r="X71" i="62"/>
  <c r="W71" i="62"/>
  <c r="V71" i="62"/>
  <c r="U71" i="62"/>
  <c r="T71" i="62"/>
  <c r="S71" i="62"/>
  <c r="R71" i="62"/>
  <c r="Q71" i="62"/>
  <c r="P71" i="62"/>
  <c r="O71" i="62"/>
  <c r="N71" i="62"/>
  <c r="M71" i="62"/>
  <c r="L71" i="62"/>
  <c r="K71" i="62"/>
  <c r="J71" i="62"/>
  <c r="I71" i="62"/>
  <c r="H71" i="62"/>
  <c r="G71" i="62"/>
  <c r="F71" i="62"/>
  <c r="E71" i="62"/>
  <c r="D71" i="62"/>
  <c r="C71" i="62"/>
  <c r="AF70" i="62"/>
  <c r="AE70" i="62"/>
  <c r="AD70" i="62"/>
  <c r="AF66" i="62"/>
  <c r="AE66" i="62"/>
  <c r="AD66" i="62"/>
  <c r="AF65" i="62"/>
  <c r="AE65" i="62"/>
  <c r="AD65" i="62"/>
  <c r="AF64" i="62"/>
  <c r="AE64" i="62"/>
  <c r="AD64" i="62"/>
  <c r="AF59" i="62"/>
  <c r="AE59" i="62"/>
  <c r="AD59" i="62"/>
  <c r="AF58" i="62"/>
  <c r="AE58" i="62"/>
  <c r="AD58" i="62"/>
  <c r="AF57" i="62"/>
  <c r="AE57" i="62"/>
  <c r="AD57" i="62"/>
  <c r="AF56" i="62"/>
  <c r="AE56" i="62"/>
  <c r="AD56" i="62"/>
  <c r="AF55" i="62"/>
  <c r="AE55" i="62"/>
  <c r="AD55" i="62"/>
  <c r="AF54" i="62"/>
  <c r="AE54" i="62"/>
  <c r="AD54" i="62"/>
  <c r="AF53" i="62"/>
  <c r="AE53" i="62"/>
  <c r="AD53" i="62"/>
  <c r="AF49" i="62"/>
  <c r="AE49" i="62"/>
  <c r="AD49" i="62"/>
  <c r="AC46" i="62"/>
  <c r="AC47" i="62" s="1"/>
  <c r="AB46" i="62"/>
  <c r="AB47" i="62" s="1"/>
  <c r="AA46" i="62"/>
  <c r="AA47" i="62" s="1"/>
  <c r="Z46" i="62"/>
  <c r="Z47" i="62" s="1"/>
  <c r="Y46" i="62"/>
  <c r="Y47" i="62" s="1"/>
  <c r="X46" i="62"/>
  <c r="X47" i="62" s="1"/>
  <c r="W46" i="62"/>
  <c r="W47" i="62" s="1"/>
  <c r="V46" i="62"/>
  <c r="V47" i="62" s="1"/>
  <c r="U46" i="62"/>
  <c r="U47" i="62" s="1"/>
  <c r="T46" i="62"/>
  <c r="T47" i="62" s="1"/>
  <c r="S46" i="62"/>
  <c r="S47" i="62" s="1"/>
  <c r="R46" i="62"/>
  <c r="R47" i="62" s="1"/>
  <c r="Q46" i="62"/>
  <c r="Q47" i="62" s="1"/>
  <c r="P46" i="62"/>
  <c r="P47" i="62" s="1"/>
  <c r="O46" i="62"/>
  <c r="O47" i="62" s="1"/>
  <c r="N46" i="62"/>
  <c r="N47" i="62" s="1"/>
  <c r="M46" i="62"/>
  <c r="M47" i="62" s="1"/>
  <c r="L46" i="62"/>
  <c r="L47" i="62" s="1"/>
  <c r="K46" i="62"/>
  <c r="K47" i="62" s="1"/>
  <c r="J46" i="62"/>
  <c r="J47" i="62" s="1"/>
  <c r="I46" i="62"/>
  <c r="I47" i="62" s="1"/>
  <c r="H46" i="62"/>
  <c r="H47" i="62" s="1"/>
  <c r="G46" i="62"/>
  <c r="G47" i="62" s="1"/>
  <c r="F46" i="62"/>
  <c r="F47" i="62" s="1"/>
  <c r="E46" i="62"/>
  <c r="E47" i="62" s="1"/>
  <c r="D46" i="62"/>
  <c r="D47" i="62" s="1"/>
  <c r="C46" i="62"/>
  <c r="C47" i="62" s="1"/>
  <c r="AF45" i="62"/>
  <c r="AE45" i="62"/>
  <c r="AD45" i="62"/>
  <c r="AF44" i="62"/>
  <c r="AE44" i="62"/>
  <c r="AD44" i="62"/>
  <c r="D6" i="50" s="1"/>
  <c r="AF43" i="62"/>
  <c r="AE43" i="62"/>
  <c r="AD43" i="62"/>
  <c r="AC42" i="62"/>
  <c r="AB42" i="62"/>
  <c r="AA42" i="62"/>
  <c r="Z42" i="62"/>
  <c r="Y42" i="62"/>
  <c r="X42" i="62"/>
  <c r="W42" i="62"/>
  <c r="V42" i="62"/>
  <c r="U42" i="62"/>
  <c r="T42" i="62"/>
  <c r="S42" i="62"/>
  <c r="R42" i="62"/>
  <c r="Q42" i="62"/>
  <c r="P42" i="62"/>
  <c r="O42" i="62"/>
  <c r="N42" i="62"/>
  <c r="M42" i="62"/>
  <c r="L42" i="62"/>
  <c r="K42" i="62"/>
  <c r="J42" i="62"/>
  <c r="I42" i="62"/>
  <c r="H42" i="62"/>
  <c r="G42" i="62"/>
  <c r="F42" i="62"/>
  <c r="E42" i="62"/>
  <c r="D42" i="62"/>
  <c r="C42" i="62"/>
  <c r="AF41" i="62"/>
  <c r="AE41" i="62"/>
  <c r="AD41" i="62"/>
  <c r="AF40" i="62"/>
  <c r="AE40" i="62"/>
  <c r="AD40" i="62"/>
  <c r="AF39" i="62"/>
  <c r="AE39" i="62"/>
  <c r="AD39" i="62"/>
  <c r="AF38" i="62"/>
  <c r="AE38" i="62"/>
  <c r="AD38" i="62"/>
  <c r="AF37" i="62"/>
  <c r="AE37" i="62"/>
  <c r="AD37" i="62"/>
  <c r="AF31" i="62"/>
  <c r="AE31" i="62"/>
  <c r="AD31" i="62"/>
  <c r="AF30" i="62"/>
  <c r="AE30" i="62"/>
  <c r="AD30" i="62"/>
  <c r="AF28" i="62"/>
  <c r="AE28" i="62"/>
  <c r="AD28" i="62"/>
  <c r="AF27" i="62"/>
  <c r="AE27" i="62"/>
  <c r="AD27" i="62"/>
  <c r="AF26" i="62"/>
  <c r="AE26" i="62"/>
  <c r="AD26" i="62"/>
  <c r="AF25" i="62"/>
  <c r="AE25" i="62"/>
  <c r="AD25" i="62"/>
  <c r="AF24" i="62"/>
  <c r="AE24" i="62"/>
  <c r="AD24" i="62"/>
  <c r="AF8" i="62"/>
  <c r="AE8" i="62"/>
  <c r="AD8" i="62"/>
  <c r="AF7" i="62"/>
  <c r="AE7" i="62"/>
  <c r="AD7" i="62"/>
  <c r="AF6" i="62"/>
  <c r="AE6" i="62"/>
  <c r="AD6" i="62"/>
  <c r="C99" i="62" l="1"/>
  <c r="C94" i="62"/>
  <c r="C95" i="62"/>
  <c r="O11" i="58"/>
  <c r="Q11" i="58" s="1"/>
  <c r="O26" i="58"/>
  <c r="O32" i="58"/>
  <c r="Q32" i="58" s="1"/>
  <c r="D11" i="58"/>
  <c r="O22" i="58"/>
  <c r="O29" i="58"/>
  <c r="Q29" i="58" s="1"/>
  <c r="O31" i="58"/>
  <c r="O19" i="58"/>
  <c r="Q19" i="58" s="1"/>
  <c r="O12" i="58"/>
  <c r="Q12" i="58" s="1"/>
  <c r="O14" i="58"/>
  <c r="P13" i="58"/>
  <c r="Q13" i="58" s="1"/>
  <c r="P15" i="58"/>
  <c r="Q15" i="58" s="1"/>
  <c r="P17" i="58"/>
  <c r="Q17" i="58" s="1"/>
  <c r="P21" i="58"/>
  <c r="Q21" i="58" s="1"/>
  <c r="E28" i="58"/>
  <c r="E21" i="58"/>
  <c r="E14" i="58"/>
  <c r="P16" i="58"/>
  <c r="Q16" i="58" s="1"/>
  <c r="P20" i="58"/>
  <c r="Q20" i="58" s="1"/>
  <c r="P10" i="58"/>
  <c r="Q10" i="58" s="1"/>
  <c r="E23" i="58"/>
  <c r="P23" i="58"/>
  <c r="Q23" i="58" s="1"/>
  <c r="P25" i="58"/>
  <c r="Q25" i="58" s="1"/>
  <c r="E10" i="58"/>
  <c r="P22" i="58"/>
  <c r="P24" i="58"/>
  <c r="Q24" i="58" s="1"/>
  <c r="P26" i="58"/>
  <c r="P28" i="58"/>
  <c r="Q28" i="58" s="1"/>
  <c r="P30" i="58"/>
  <c r="Q30" i="58" s="1"/>
  <c r="E31" i="58"/>
  <c r="E26" i="58"/>
  <c r="E20" i="58"/>
  <c r="P14" i="58"/>
  <c r="P18" i="58"/>
  <c r="Q18" i="58" s="1"/>
  <c r="E30" i="58"/>
  <c r="P27" i="58"/>
  <c r="Q27" i="58" s="1"/>
  <c r="P31" i="58"/>
  <c r="E22" i="58"/>
  <c r="E18" i="58"/>
  <c r="R63" i="62"/>
  <c r="O63" i="62"/>
  <c r="W63" i="62"/>
  <c r="N62" i="62"/>
  <c r="AA62" i="62"/>
  <c r="K62" i="62"/>
  <c r="Z62" i="62"/>
  <c r="S63" i="62"/>
  <c r="J63" i="62"/>
  <c r="O48" i="62"/>
  <c r="X63" i="62"/>
  <c r="X62" i="62"/>
  <c r="C63" i="62"/>
  <c r="E13" i="46"/>
  <c r="AF60" i="62"/>
  <c r="C62" i="62"/>
  <c r="AE60" i="62"/>
  <c r="Z63" i="62"/>
  <c r="H63" i="62"/>
  <c r="H62" i="62"/>
  <c r="Q63" i="62"/>
  <c r="Q62" i="62"/>
  <c r="D14" i="58"/>
  <c r="D22" i="58"/>
  <c r="AD61" i="62"/>
  <c r="AF61" i="62"/>
  <c r="E14" i="46"/>
  <c r="R62" i="62"/>
  <c r="S62" i="62"/>
  <c r="I63" i="62"/>
  <c r="I62" i="62"/>
  <c r="AB62" i="62"/>
  <c r="AB63" i="62"/>
  <c r="AA63" i="62"/>
  <c r="K63" i="62"/>
  <c r="AC63" i="62"/>
  <c r="AC62" i="62"/>
  <c r="M63" i="62"/>
  <c r="M62" i="62"/>
  <c r="V62" i="62"/>
  <c r="F62" i="62"/>
  <c r="O62" i="62"/>
  <c r="G48" i="62"/>
  <c r="W48" i="62"/>
  <c r="L62" i="62"/>
  <c r="L63" i="62"/>
  <c r="G63" i="62"/>
  <c r="G62" i="62"/>
  <c r="Y63" i="62"/>
  <c r="Y62" i="62"/>
  <c r="AD60" i="62"/>
  <c r="D63" i="62"/>
  <c r="D62" i="62"/>
  <c r="T63" i="62"/>
  <c r="T62" i="62"/>
  <c r="N63" i="62"/>
  <c r="P62" i="62"/>
  <c r="P63" i="62"/>
  <c r="U63" i="62"/>
  <c r="U62" i="62"/>
  <c r="E63" i="62"/>
  <c r="E62" i="62"/>
  <c r="B12" i="46"/>
  <c r="J62" i="62"/>
  <c r="W62" i="62"/>
  <c r="AE61" i="62"/>
  <c r="J48" i="62"/>
  <c r="R48" i="62"/>
  <c r="Z48" i="62"/>
  <c r="C48" i="62"/>
  <c r="K48" i="62"/>
  <c r="S48" i="62"/>
  <c r="AA48" i="62"/>
  <c r="AF71" i="62"/>
  <c r="AF75" i="62"/>
  <c r="AE75" i="62"/>
  <c r="AD75" i="62"/>
  <c r="AF69" i="62"/>
  <c r="AD69" i="62"/>
  <c r="AE69" i="62"/>
  <c r="H48" i="62"/>
  <c r="T48" i="62"/>
  <c r="AB48" i="62"/>
  <c r="E48" i="62"/>
  <c r="I48" i="62"/>
  <c r="M48" i="62"/>
  <c r="Q48" i="62"/>
  <c r="U48" i="62"/>
  <c r="Y48" i="62"/>
  <c r="AC48" i="62"/>
  <c r="P48" i="62"/>
  <c r="X48" i="62"/>
  <c r="L48" i="62"/>
  <c r="AD42" i="62"/>
  <c r="AE46" i="62"/>
  <c r="F48" i="62"/>
  <c r="N48" i="62"/>
  <c r="V48" i="62"/>
  <c r="AE71" i="62"/>
  <c r="D48" i="62"/>
  <c r="AD47" i="62"/>
  <c r="AE42" i="62"/>
  <c r="AF46" i="62"/>
  <c r="AD46" i="62"/>
  <c r="AF47" i="62"/>
  <c r="AD71" i="62"/>
  <c r="AF42" i="62"/>
  <c r="AE47" i="62"/>
  <c r="C97" i="62" l="1"/>
  <c r="C96" i="62"/>
  <c r="Q31" i="58"/>
  <c r="Q14" i="58"/>
  <c r="Q26" i="58"/>
  <c r="Q22" i="58"/>
  <c r="E16" i="46"/>
  <c r="AF62" i="62"/>
  <c r="AD62" i="62"/>
  <c r="AE62" i="62"/>
  <c r="B14" i="46"/>
  <c r="E10" i="46"/>
  <c r="AD63" i="62"/>
  <c r="AF63" i="62"/>
  <c r="AE63" i="62"/>
  <c r="AD48" i="62"/>
  <c r="AE48" i="62"/>
  <c r="AF48" i="62"/>
  <c r="D46" i="50"/>
  <c r="D36" i="50"/>
  <c r="D23" i="50"/>
  <c r="D14" i="50"/>
  <c r="D34" i="50" l="1"/>
  <c r="D44" i="50"/>
  <c r="D30" i="58" l="1"/>
  <c r="D28" i="58"/>
  <c r="D21" i="58"/>
  <c r="D20" i="58"/>
  <c r="D18" i="58"/>
  <c r="D10" i="58"/>
  <c r="G10" i="58" s="1"/>
  <c r="B31" i="26" l="1"/>
  <c r="B44" i="26" s="1"/>
  <c r="G8" i="46" l="1"/>
  <c r="G11" i="46"/>
  <c r="G9" i="46"/>
  <c r="G6" i="46"/>
  <c r="G7" i="46"/>
  <c r="G12" i="46" l="1"/>
  <c r="C42" i="58"/>
  <c r="D19" i="58" l="1"/>
  <c r="F19" i="58" s="1"/>
  <c r="F11" i="58"/>
  <c r="D29" i="58"/>
  <c r="F29" i="58" s="1"/>
  <c r="D32" i="58"/>
  <c r="F32" i="58" s="1"/>
  <c r="D12" i="58"/>
  <c r="F12" i="58" s="1"/>
  <c r="D31" i="58"/>
  <c r="D26" i="58"/>
  <c r="G14" i="46"/>
  <c r="G13" i="46" l="1"/>
  <c r="G16" i="46"/>
  <c r="E15" i="46"/>
  <c r="G15" i="46" s="1"/>
  <c r="J63" i="43" l="1"/>
  <c r="C56" i="39" l="1"/>
  <c r="D56" i="39" s="1"/>
  <c r="B39" i="55" l="1"/>
  <c r="B39" i="26"/>
  <c r="B42" i="26" s="1"/>
  <c r="H44" i="58" l="1"/>
  <c r="H45" i="58"/>
  <c r="H47" i="58"/>
  <c r="H48" i="58"/>
  <c r="H49" i="58"/>
  <c r="H50" i="58"/>
  <c r="H51" i="58"/>
  <c r="H52" i="58"/>
  <c r="H53" i="58"/>
  <c r="H55" i="58"/>
  <c r="H56" i="58"/>
  <c r="H57" i="58"/>
  <c r="H59" i="58"/>
  <c r="H60" i="58"/>
  <c r="H62" i="58"/>
  <c r="H42" i="58"/>
  <c r="D4" i="50"/>
  <c r="D42" i="50"/>
  <c r="D43" i="50" s="1"/>
  <c r="D31" i="50"/>
  <c r="D33" i="50" s="1"/>
  <c r="D32" i="50" s="1"/>
  <c r="D20" i="50"/>
  <c r="D21" i="50" s="1"/>
  <c r="D11" i="50"/>
  <c r="D12" i="50" s="1"/>
  <c r="B38" i="55" l="1"/>
  <c r="D13" i="58" l="1"/>
  <c r="D15" i="58"/>
  <c r="D16" i="58"/>
  <c r="D17" i="58"/>
  <c r="D24" i="58"/>
  <c r="D25" i="58"/>
  <c r="D27" i="58"/>
  <c r="F12" i="42" l="1"/>
  <c r="G12" i="42"/>
  <c r="G18" i="42"/>
  <c r="J13" i="46"/>
  <c r="J14" i="46"/>
  <c r="J12" i="46"/>
  <c r="J11" i="46"/>
  <c r="J9" i="46"/>
  <c r="J8" i="46"/>
  <c r="J7" i="46"/>
  <c r="J6" i="46"/>
  <c r="E15" i="58" l="1"/>
  <c r="F23" i="58"/>
  <c r="E27" i="58"/>
  <c r="F27" i="58" s="1"/>
  <c r="F31" i="58"/>
  <c r="F21" i="58"/>
  <c r="F10" i="58"/>
  <c r="F30" i="58"/>
  <c r="E16" i="58"/>
  <c r="F16" i="58" s="1"/>
  <c r="F20" i="58"/>
  <c r="E24" i="58"/>
  <c r="F24" i="58" s="1"/>
  <c r="F28" i="58"/>
  <c r="E13" i="58"/>
  <c r="F13" i="58" s="1"/>
  <c r="E17" i="58"/>
  <c r="F17" i="58" s="1"/>
  <c r="E25" i="58"/>
  <c r="F25" i="58" s="1"/>
  <c r="F18" i="58"/>
  <c r="F26" i="58"/>
  <c r="J5" i="46"/>
  <c r="H5" i="46"/>
  <c r="F15" i="58" l="1"/>
  <c r="F22" i="58"/>
  <c r="F14" i="58"/>
  <c r="B67" i="45"/>
  <c r="B66" i="39"/>
  <c r="E56" i="39" s="1"/>
  <c r="F56" i="39" s="1"/>
  <c r="B65" i="39"/>
  <c r="B66" i="45"/>
  <c r="B81" i="55"/>
  <c r="B80" i="55"/>
  <c r="B81" i="26"/>
  <c r="B80" i="26"/>
  <c r="B9" i="26" l="1"/>
  <c r="B10" i="26" s="1"/>
  <c r="B6" i="26"/>
  <c r="B11" i="26" l="1"/>
  <c r="C37" i="26"/>
  <c r="B6" i="55"/>
  <c r="B11" i="55" s="1"/>
  <c r="F74" i="43" l="1"/>
  <c r="D74" i="43"/>
  <c r="B74" i="43"/>
  <c r="A110" i="43"/>
  <c r="A109" i="43"/>
  <c r="A108" i="43"/>
  <c r="H5" i="58"/>
  <c r="G5" i="58"/>
  <c r="F5" i="58"/>
  <c r="E5" i="58"/>
  <c r="D5" i="58"/>
  <c r="F4" i="58"/>
  <c r="E4" i="58"/>
  <c r="K43" i="58"/>
  <c r="K44" i="58"/>
  <c r="K51" i="58"/>
  <c r="K61" i="58"/>
  <c r="K64" i="58"/>
  <c r="F43" i="58"/>
  <c r="E86" i="43" s="1"/>
  <c r="F44" i="58"/>
  <c r="E87" i="43" s="1"/>
  <c r="F51" i="58"/>
  <c r="E94" i="43" s="1"/>
  <c r="F61" i="58"/>
  <c r="E104" i="43" s="1"/>
  <c r="F64" i="58"/>
  <c r="E107" i="43" s="1"/>
  <c r="H11" i="58"/>
  <c r="G13" i="58"/>
  <c r="G15" i="58"/>
  <c r="G16" i="58"/>
  <c r="H19" i="58"/>
  <c r="B56" i="58"/>
  <c r="G25" i="58"/>
  <c r="B60" i="58"/>
  <c r="H29" i="58"/>
  <c r="G30" i="58"/>
  <c r="G42" i="58"/>
  <c r="F85" i="43" s="1"/>
  <c r="G85" i="43"/>
  <c r="L42" i="58"/>
  <c r="M42" i="58"/>
  <c r="E43" i="58"/>
  <c r="D86" i="43" s="1"/>
  <c r="J43" i="58"/>
  <c r="E44" i="58"/>
  <c r="D87" i="43" s="1"/>
  <c r="G87" i="43"/>
  <c r="J44" i="58"/>
  <c r="M44" i="58"/>
  <c r="G45" i="58"/>
  <c r="F88" i="43" s="1"/>
  <c r="G88" i="43"/>
  <c r="L45" i="58"/>
  <c r="M45" i="58"/>
  <c r="G47" i="58"/>
  <c r="F90" i="43" s="1"/>
  <c r="G90" i="43"/>
  <c r="L47" i="58"/>
  <c r="M47" i="58"/>
  <c r="G48" i="58"/>
  <c r="F91" i="43" s="1"/>
  <c r="G91" i="43"/>
  <c r="L48" i="58"/>
  <c r="M48" i="58"/>
  <c r="G49" i="58"/>
  <c r="F92" i="43" s="1"/>
  <c r="G92" i="43"/>
  <c r="L49" i="58"/>
  <c r="M49" i="58"/>
  <c r="G50" i="58"/>
  <c r="F93" i="43" s="1"/>
  <c r="G93" i="43"/>
  <c r="L50" i="58"/>
  <c r="M50" i="58"/>
  <c r="E51" i="58"/>
  <c r="D94" i="43" s="1"/>
  <c r="G51" i="58"/>
  <c r="F94" i="43" s="1"/>
  <c r="G94" i="43"/>
  <c r="J51" i="58"/>
  <c r="L51" i="58"/>
  <c r="M51" i="58"/>
  <c r="G52" i="58"/>
  <c r="F95" i="43" s="1"/>
  <c r="G95" i="43"/>
  <c r="L52" i="58"/>
  <c r="M52" i="58"/>
  <c r="G53" i="58"/>
  <c r="F96" i="43" s="1"/>
  <c r="G96" i="43"/>
  <c r="L53" i="58"/>
  <c r="M53" i="58"/>
  <c r="G55" i="58"/>
  <c r="F98" i="43" s="1"/>
  <c r="G98" i="43"/>
  <c r="L55" i="58"/>
  <c r="M55" i="58"/>
  <c r="G56" i="58"/>
  <c r="F99" i="43" s="1"/>
  <c r="G99" i="43"/>
  <c r="L56" i="58"/>
  <c r="M56" i="58"/>
  <c r="G57" i="58"/>
  <c r="F100" i="43" s="1"/>
  <c r="G100" i="43"/>
  <c r="L57" i="58"/>
  <c r="M57" i="58"/>
  <c r="G59" i="58"/>
  <c r="F102" i="43" s="1"/>
  <c r="G102" i="43"/>
  <c r="L59" i="58"/>
  <c r="M59" i="58"/>
  <c r="G60" i="58"/>
  <c r="F103" i="43" s="1"/>
  <c r="G103" i="43"/>
  <c r="L60" i="58"/>
  <c r="M60" i="58"/>
  <c r="E61" i="58"/>
  <c r="D104" i="43" s="1"/>
  <c r="J61" i="58"/>
  <c r="G62" i="58"/>
  <c r="F105" i="43" s="1"/>
  <c r="G105" i="43"/>
  <c r="L62" i="58"/>
  <c r="M62" i="58"/>
  <c r="E64" i="58"/>
  <c r="D107" i="43" s="1"/>
  <c r="J64" i="58"/>
  <c r="H10" i="58" l="1"/>
  <c r="H15" i="58"/>
  <c r="H14" i="58"/>
  <c r="B42" i="58"/>
  <c r="B59" i="58"/>
  <c r="J20" i="58"/>
  <c r="K20" i="58" s="1"/>
  <c r="B52" i="58"/>
  <c r="G20" i="58"/>
  <c r="B57" i="58"/>
  <c r="L26" i="58"/>
  <c r="M26" i="58" s="1"/>
  <c r="B47" i="58"/>
  <c r="G27" i="58"/>
  <c r="G24" i="58"/>
  <c r="J15" i="58"/>
  <c r="K15" i="58" s="1"/>
  <c r="L12" i="58"/>
  <c r="M12" i="58" s="1"/>
  <c r="J27" i="58"/>
  <c r="K27" i="58" s="1"/>
  <c r="J24" i="58"/>
  <c r="K24" i="58" s="1"/>
  <c r="H23" i="58"/>
  <c r="H12" i="58"/>
  <c r="L28" i="58"/>
  <c r="C60" i="58"/>
  <c r="D60" i="58" s="1"/>
  <c r="L32" i="58"/>
  <c r="M32" i="58" s="1"/>
  <c r="H25" i="58"/>
  <c r="H20" i="58"/>
  <c r="H16" i="58"/>
  <c r="H13" i="58"/>
  <c r="H32" i="58"/>
  <c r="C59" i="58"/>
  <c r="H24" i="58"/>
  <c r="L22" i="58"/>
  <c r="M22" i="58" s="1"/>
  <c r="H21" i="58"/>
  <c r="L18" i="58"/>
  <c r="L10" i="58"/>
  <c r="M10" i="58" s="1"/>
  <c r="N10" i="58" s="1"/>
  <c r="L29" i="58"/>
  <c r="M29" i="58" s="1"/>
  <c r="G28" i="58"/>
  <c r="B55" i="58"/>
  <c r="B48" i="58"/>
  <c r="J28" i="58"/>
  <c r="K28" i="58" s="1"/>
  <c r="G23" i="58"/>
  <c r="J16" i="58"/>
  <c r="K16" i="58" s="1"/>
  <c r="H28" i="58"/>
  <c r="J23" i="58"/>
  <c r="K23" i="58" s="1"/>
  <c r="J30" i="58"/>
  <c r="K30" i="58" s="1"/>
  <c r="J18" i="58"/>
  <c r="K18" i="58" s="1"/>
  <c r="J17" i="58"/>
  <c r="K17" i="58" s="1"/>
  <c r="B49" i="58"/>
  <c r="B62" i="58"/>
  <c r="B50" i="58"/>
  <c r="J25" i="58"/>
  <c r="K25" i="58" s="1"/>
  <c r="G17" i="58"/>
  <c r="J13" i="58"/>
  <c r="K13" i="58" s="1"/>
  <c r="B45" i="58"/>
  <c r="L11" i="58"/>
  <c r="M11" i="58" s="1"/>
  <c r="J10" i="58"/>
  <c r="K10" i="58" s="1"/>
  <c r="J21" i="58"/>
  <c r="K21" i="58" s="1"/>
  <c r="B53" i="58"/>
  <c r="G18" i="58"/>
  <c r="G21" i="58"/>
  <c r="L19" i="58"/>
  <c r="M19" i="58" s="1"/>
  <c r="M18" i="58" l="1"/>
  <c r="N18" i="58" s="1"/>
  <c r="M28" i="58"/>
  <c r="N28" i="58" s="1"/>
  <c r="D59" i="58"/>
  <c r="I16" i="58"/>
  <c r="I48" i="58" s="1"/>
  <c r="I23" i="58"/>
  <c r="I55" i="58" s="1"/>
  <c r="I28" i="58"/>
  <c r="I60" i="58" s="1"/>
  <c r="I15" i="58"/>
  <c r="I47" i="58" s="1"/>
  <c r="C55" i="58"/>
  <c r="D55" i="58" s="1"/>
  <c r="H22" i="58"/>
  <c r="L31" i="58"/>
  <c r="M31" i="58" s="1"/>
  <c r="L15" i="58"/>
  <c r="L14" i="58"/>
  <c r="M14" i="58" s="1"/>
  <c r="C47" i="58"/>
  <c r="D47" i="58" s="1"/>
  <c r="L23" i="58"/>
  <c r="H26" i="58"/>
  <c r="C50" i="58"/>
  <c r="D50" i="58" s="1"/>
  <c r="D42" i="58"/>
  <c r="L27" i="58"/>
  <c r="H27" i="58"/>
  <c r="H31" i="58"/>
  <c r="I20" i="58"/>
  <c r="I52" i="58" s="1"/>
  <c r="L30" i="58"/>
  <c r="C62" i="58"/>
  <c r="D62" i="58" s="1"/>
  <c r="C56" i="58"/>
  <c r="D56" i="58" s="1"/>
  <c r="L17" i="58"/>
  <c r="C49" i="58"/>
  <c r="D49" i="58" s="1"/>
  <c r="H17" i="58"/>
  <c r="L24" i="58"/>
  <c r="L21" i="58"/>
  <c r="C53" i="58"/>
  <c r="D53" i="58" s="1"/>
  <c r="L13" i="58"/>
  <c r="C45" i="58"/>
  <c r="D45" i="58" s="1"/>
  <c r="C52" i="58"/>
  <c r="D52" i="58" s="1"/>
  <c r="L20" i="58"/>
  <c r="H18" i="58"/>
  <c r="H30" i="58"/>
  <c r="L16" i="58"/>
  <c r="C48" i="58"/>
  <c r="D48" i="58" s="1"/>
  <c r="C57" i="58"/>
  <c r="D57" i="58" s="1"/>
  <c r="L25" i="58"/>
  <c r="I25" i="58"/>
  <c r="I57" i="58" s="1"/>
  <c r="I24" i="58"/>
  <c r="I56" i="58" s="1"/>
  <c r="I13" i="58"/>
  <c r="I45" i="58" s="1"/>
  <c r="I21" i="58"/>
  <c r="I53" i="58" s="1"/>
  <c r="M20" i="58" l="1"/>
  <c r="N20" i="58" s="1"/>
  <c r="M27" i="58"/>
  <c r="N27" i="58" s="1"/>
  <c r="M23" i="58"/>
  <c r="N23" i="58" s="1"/>
  <c r="M15" i="58"/>
  <c r="N15" i="58" s="1"/>
  <c r="M25" i="58"/>
  <c r="N25" i="58" s="1"/>
  <c r="M24" i="58"/>
  <c r="N24" i="58" s="1"/>
  <c r="M13" i="58"/>
  <c r="N13" i="58" s="1"/>
  <c r="M30" i="58"/>
  <c r="N30" i="58" s="1"/>
  <c r="M16" i="58"/>
  <c r="N16" i="58" s="1"/>
  <c r="M21" i="58"/>
  <c r="N21" i="58" s="1"/>
  <c r="M17" i="58"/>
  <c r="N17" i="58" s="1"/>
  <c r="I30" i="58"/>
  <c r="I62" i="58" s="1"/>
  <c r="I10" i="58"/>
  <c r="I42" i="58" s="1"/>
  <c r="I18" i="58"/>
  <c r="I50" i="58" s="1"/>
  <c r="I17" i="58"/>
  <c r="I49" i="58" s="1"/>
  <c r="I27" i="58"/>
  <c r="I59" i="58" s="1"/>
  <c r="I65" i="43" l="1"/>
  <c r="B42" i="55"/>
  <c r="C42" i="55" s="1"/>
  <c r="B53" i="43" s="1"/>
  <c r="B41" i="55"/>
  <c r="C41" i="55" s="1"/>
  <c r="E41" i="55" s="1"/>
  <c r="C40" i="55"/>
  <c r="C39" i="55"/>
  <c r="C38" i="55"/>
  <c r="C37" i="55"/>
  <c r="C36" i="55"/>
  <c r="B33" i="55"/>
  <c r="B31" i="55"/>
  <c r="B29" i="55"/>
  <c r="B9" i="55"/>
  <c r="C76" i="55" s="1"/>
  <c r="E76" i="55" s="1"/>
  <c r="F76" i="55" s="1"/>
  <c r="B7" i="55"/>
  <c r="B43" i="55" l="1"/>
  <c r="C43" i="55" s="1"/>
  <c r="B44" i="55"/>
  <c r="C44" i="55" s="1"/>
  <c r="B45" i="55"/>
  <c r="C45" i="55" s="1"/>
  <c r="D36" i="55"/>
  <c r="C46" i="43" s="1"/>
  <c r="B65" i="43" s="1"/>
  <c r="E36" i="55"/>
  <c r="F36" i="55" s="1"/>
  <c r="D40" i="55"/>
  <c r="E40" i="55"/>
  <c r="F40" i="55" s="1"/>
  <c r="D39" i="55"/>
  <c r="C49" i="43" s="1"/>
  <c r="E65" i="43" s="1"/>
  <c r="E39" i="55"/>
  <c r="F39" i="55" s="1"/>
  <c r="E42" i="55"/>
  <c r="F42" i="55" s="1"/>
  <c r="D38" i="55"/>
  <c r="C48" i="43" s="1"/>
  <c r="D65" i="43" s="1"/>
  <c r="E38" i="55"/>
  <c r="F38" i="55" s="1"/>
  <c r="D37" i="55"/>
  <c r="E37" i="55"/>
  <c r="B51" i="43"/>
  <c r="B48" i="43"/>
  <c r="D76" i="55"/>
  <c r="K62" i="58" s="1"/>
  <c r="F62" i="58"/>
  <c r="E105" i="43" s="1"/>
  <c r="C61" i="55"/>
  <c r="E61" i="55" s="1"/>
  <c r="F61" i="55" s="1"/>
  <c r="C63" i="55"/>
  <c r="F47" i="58" s="1"/>
  <c r="E90" i="43" s="1"/>
  <c r="C71" i="55"/>
  <c r="E71" i="55" s="1"/>
  <c r="F71" i="55" s="1"/>
  <c r="B49" i="43"/>
  <c r="B46" i="43"/>
  <c r="B47" i="43"/>
  <c r="B50" i="43"/>
  <c r="F37" i="55"/>
  <c r="C65" i="55"/>
  <c r="E65" i="55" s="1"/>
  <c r="F65" i="55" s="1"/>
  <c r="C73" i="55"/>
  <c r="E73" i="55" s="1"/>
  <c r="F73" i="55" s="1"/>
  <c r="C67" i="55"/>
  <c r="E67" i="55" s="1"/>
  <c r="F67" i="55" s="1"/>
  <c r="C75" i="55"/>
  <c r="E75" i="55" s="1"/>
  <c r="F75" i="55" s="1"/>
  <c r="C69" i="55"/>
  <c r="E69" i="55" s="1"/>
  <c r="F69" i="55" s="1"/>
  <c r="C77" i="55"/>
  <c r="E77" i="55" s="1"/>
  <c r="F77" i="55" s="1"/>
  <c r="F41" i="55"/>
  <c r="D41" i="55"/>
  <c r="D42" i="55"/>
  <c r="C53" i="43" s="1"/>
  <c r="J65" i="43" s="1"/>
  <c r="B10" i="55"/>
  <c r="C60" i="55"/>
  <c r="E60" i="55" s="1"/>
  <c r="F60" i="55" s="1"/>
  <c r="C62" i="55"/>
  <c r="E62" i="55" s="1"/>
  <c r="F62" i="55" s="1"/>
  <c r="C64" i="55"/>
  <c r="E64" i="55" s="1"/>
  <c r="F64" i="55" s="1"/>
  <c r="C66" i="55"/>
  <c r="E66" i="55" s="1"/>
  <c r="F66" i="55" s="1"/>
  <c r="C68" i="55"/>
  <c r="E68" i="55" s="1"/>
  <c r="F68" i="55" s="1"/>
  <c r="C70" i="55"/>
  <c r="E70" i="55" s="1"/>
  <c r="F70" i="55" s="1"/>
  <c r="C72" i="55"/>
  <c r="E72" i="55" s="1"/>
  <c r="F72" i="55" s="1"/>
  <c r="C74" i="55"/>
  <c r="E74" i="55" s="1"/>
  <c r="F74" i="55" s="1"/>
  <c r="F76" i="43" l="1"/>
  <c r="E45" i="55"/>
  <c r="F45" i="55" s="1"/>
  <c r="D45" i="55"/>
  <c r="G76" i="43" s="1"/>
  <c r="E44" i="55"/>
  <c r="F44" i="55" s="1"/>
  <c r="D44" i="55"/>
  <c r="E76" i="43" s="1"/>
  <c r="D76" i="43"/>
  <c r="D43" i="55"/>
  <c r="C76" i="43" s="1"/>
  <c r="C46" i="55"/>
  <c r="E43" i="55"/>
  <c r="F43" i="55" s="1"/>
  <c r="B76" i="43"/>
  <c r="C47" i="55"/>
  <c r="E47" i="55" s="1"/>
  <c r="F47" i="55" s="1"/>
  <c r="D63" i="55"/>
  <c r="K47" i="58" s="1"/>
  <c r="E63" i="55"/>
  <c r="F63" i="55" s="1"/>
  <c r="C50" i="43"/>
  <c r="C51" i="43"/>
  <c r="G65" i="43" s="1"/>
  <c r="E46" i="55"/>
  <c r="F46" i="55" s="1"/>
  <c r="C47" i="43"/>
  <c r="C65" i="43" s="1"/>
  <c r="K76" i="43"/>
  <c r="K65" i="43" s="1"/>
  <c r="D72" i="55"/>
  <c r="K57" i="58" s="1"/>
  <c r="F57" i="58"/>
  <c r="E100" i="43" s="1"/>
  <c r="D64" i="55"/>
  <c r="K48" i="58" s="1"/>
  <c r="F48" i="58"/>
  <c r="E91" i="43" s="1"/>
  <c r="D75" i="55"/>
  <c r="K60" i="58" s="1"/>
  <c r="F60" i="58"/>
  <c r="E103" i="43" s="1"/>
  <c r="D71" i="55"/>
  <c r="K56" i="58" s="1"/>
  <c r="F56" i="58"/>
  <c r="E99" i="43" s="1"/>
  <c r="D70" i="55"/>
  <c r="K55" i="58" s="1"/>
  <c r="F55" i="58"/>
  <c r="E98" i="43" s="1"/>
  <c r="D62" i="55"/>
  <c r="K46" i="58" s="1"/>
  <c r="F46" i="58"/>
  <c r="E89" i="43" s="1"/>
  <c r="D67" i="55"/>
  <c r="K52" i="58" s="1"/>
  <c r="F52" i="58"/>
  <c r="E95" i="43" s="1"/>
  <c r="D68" i="55"/>
  <c r="K53" i="58" s="1"/>
  <c r="F53" i="58"/>
  <c r="E96" i="43" s="1"/>
  <c r="D60" i="55"/>
  <c r="K42" i="58" s="1"/>
  <c r="F42" i="58"/>
  <c r="E85" i="43" s="1"/>
  <c r="D77" i="55"/>
  <c r="K63" i="58" s="1"/>
  <c r="F63" i="58"/>
  <c r="E106" i="43" s="1"/>
  <c r="D73" i="55"/>
  <c r="K58" i="58" s="1"/>
  <c r="F58" i="58"/>
  <c r="E101" i="43" s="1"/>
  <c r="D61" i="55"/>
  <c r="K45" i="58" s="1"/>
  <c r="F45" i="58"/>
  <c r="E88" i="43" s="1"/>
  <c r="D74" i="55"/>
  <c r="K59" i="58" s="1"/>
  <c r="F59" i="58"/>
  <c r="E102" i="43" s="1"/>
  <c r="D66" i="55"/>
  <c r="K50" i="58" s="1"/>
  <c r="F50" i="58"/>
  <c r="E93" i="43" s="1"/>
  <c r="D69" i="55"/>
  <c r="K54" i="58" s="1"/>
  <c r="F54" i="58"/>
  <c r="E97" i="43" s="1"/>
  <c r="D65" i="55"/>
  <c r="K49" i="58" s="1"/>
  <c r="F49" i="58"/>
  <c r="E92" i="43" s="1"/>
  <c r="D47" i="55"/>
  <c r="D46" i="55"/>
  <c r="J76" i="43" l="1"/>
  <c r="F65" i="43"/>
  <c r="H65" i="43"/>
  <c r="G6" i="42"/>
  <c r="F6" i="42"/>
  <c r="H6" i="42" l="1"/>
  <c r="C51" i="58" l="1"/>
  <c r="C46" i="58"/>
  <c r="C44" i="58"/>
  <c r="C58" i="58"/>
  <c r="C63" i="58"/>
  <c r="C64" i="58"/>
  <c r="C61" i="58"/>
  <c r="C54" i="58"/>
  <c r="C43" i="58" l="1"/>
  <c r="B54" i="58"/>
  <c r="D54" i="58" s="1"/>
  <c r="J22" i="58"/>
  <c r="B58" i="58"/>
  <c r="D58" i="58" s="1"/>
  <c r="J26" i="58"/>
  <c r="J11" i="58"/>
  <c r="B43" i="58"/>
  <c r="B61" i="58"/>
  <c r="D61" i="58" s="1"/>
  <c r="J29" i="58"/>
  <c r="B44" i="58"/>
  <c r="D44" i="58" s="1"/>
  <c r="J12" i="58"/>
  <c r="B64" i="58"/>
  <c r="D64" i="58" s="1"/>
  <c r="J32" i="58"/>
  <c r="B46" i="58"/>
  <c r="D46" i="58" s="1"/>
  <c r="J14" i="58"/>
  <c r="J31" i="58"/>
  <c r="B63" i="58"/>
  <c r="D63" i="58" s="1"/>
  <c r="B51" i="58"/>
  <c r="D51" i="58" s="1"/>
  <c r="J19" i="58"/>
  <c r="K11" i="58" l="1"/>
  <c r="N11" i="58" s="1"/>
  <c r="K31" i="58"/>
  <c r="N31" i="58" s="1"/>
  <c r="K19" i="58"/>
  <c r="N19" i="58" s="1"/>
  <c r="K14" i="58"/>
  <c r="N14" i="58" s="1"/>
  <c r="K12" i="58"/>
  <c r="N12" i="58" s="1"/>
  <c r="K22" i="58"/>
  <c r="N22" i="58" s="1"/>
  <c r="K32" i="58"/>
  <c r="N32" i="58" s="1"/>
  <c r="K29" i="58"/>
  <c r="N29" i="58" s="1"/>
  <c r="K26" i="58"/>
  <c r="N26" i="58" s="1"/>
  <c r="D43" i="58"/>
  <c r="B33" i="26" l="1"/>
  <c r="B45" i="26" s="1"/>
  <c r="B29" i="26"/>
  <c r="B43" i="26" s="1"/>
  <c r="B26" i="46"/>
  <c r="B28" i="46"/>
  <c r="J16" i="46" l="1"/>
  <c r="J15" i="46"/>
  <c r="H11" i="46" l="1"/>
  <c r="H9" i="46"/>
  <c r="H8" i="46"/>
  <c r="H7" i="46"/>
  <c r="H6" i="46"/>
  <c r="D7" i="52" l="1"/>
  <c r="C7" i="52"/>
  <c r="F6" i="52"/>
  <c r="H6" i="52" s="1"/>
  <c r="F5" i="52"/>
  <c r="H5" i="52" s="1"/>
  <c r="H7" i="52" l="1"/>
  <c r="F7" i="52"/>
  <c r="I79" i="43" s="1"/>
  <c r="K79" i="43" l="1"/>
  <c r="I80" i="43"/>
  <c r="H79" i="43"/>
  <c r="H12" i="46" l="1"/>
  <c r="K68" i="43"/>
  <c r="J79" i="43"/>
  <c r="H80" i="43"/>
  <c r="C87" i="43" l="1"/>
  <c r="B105" i="43"/>
  <c r="B99" i="43"/>
  <c r="B95" i="43"/>
  <c r="B93" i="43"/>
  <c r="C107" i="43"/>
  <c r="B91" i="43"/>
  <c r="B85" i="43"/>
  <c r="C104" i="43"/>
  <c r="C94" i="43"/>
  <c r="C86" i="43"/>
  <c r="B103" i="43"/>
  <c r="B102" i="43"/>
  <c r="B100" i="43"/>
  <c r="B98" i="43"/>
  <c r="B96" i="43"/>
  <c r="B92" i="43"/>
  <c r="B90" i="43"/>
  <c r="B88" i="43"/>
  <c r="C90" i="43" l="1"/>
  <c r="C93" i="43" l="1"/>
  <c r="C96" i="43"/>
  <c r="C98" i="43"/>
  <c r="C101" i="43"/>
  <c r="C88" i="43"/>
  <c r="C92" i="43"/>
  <c r="C95" i="43"/>
  <c r="C89" i="43"/>
  <c r="C100" i="43"/>
  <c r="C103" i="43"/>
  <c r="C106" i="43"/>
  <c r="C91" i="43"/>
  <c r="C85" i="43"/>
  <c r="C97" i="43"/>
  <c r="C99" i="43"/>
  <c r="C102" i="43"/>
  <c r="C105" i="43"/>
  <c r="B107" i="43" l="1"/>
  <c r="B104" i="43"/>
  <c r="B94" i="43"/>
  <c r="B106" i="43"/>
  <c r="B101" i="43"/>
  <c r="B87" i="43"/>
  <c r="B97" i="43"/>
  <c r="B86" i="43"/>
  <c r="B89" i="43"/>
  <c r="G8" i="42"/>
  <c r="G9" i="42"/>
  <c r="F9" i="42"/>
  <c r="F27" i="42" l="1"/>
  <c r="F21" i="42"/>
  <c r="F15" i="42"/>
  <c r="B14" i="43" l="1"/>
  <c r="B12" i="43"/>
  <c r="B8" i="43" l="1"/>
  <c r="B9" i="43"/>
  <c r="B10" i="43"/>
  <c r="B11" i="43"/>
  <c r="B7" i="43"/>
  <c r="B41" i="26" l="1"/>
  <c r="B21" i="45" l="1"/>
  <c r="B20" i="39"/>
  <c r="C39" i="39" s="1"/>
  <c r="D38" i="45" l="1"/>
  <c r="F38" i="45" s="1"/>
  <c r="G38" i="45" s="1"/>
  <c r="C40" i="45"/>
  <c r="D37" i="39"/>
  <c r="D34" i="39"/>
  <c r="F34" i="39" s="1"/>
  <c r="G34" i="39" s="1"/>
  <c r="B10" i="45"/>
  <c r="C42" i="26"/>
  <c r="H42" i="26" s="1"/>
  <c r="G10" i="46"/>
  <c r="H14" i="46"/>
  <c r="B24" i="46"/>
  <c r="B15" i="46"/>
  <c r="B41" i="43" l="1"/>
  <c r="D40" i="45"/>
  <c r="B13" i="46"/>
  <c r="E42" i="26"/>
  <c r="F42" i="26" s="1"/>
  <c r="D37" i="43"/>
  <c r="F37" i="39"/>
  <c r="G37" i="39" s="1"/>
  <c r="H10" i="46"/>
  <c r="J10" i="46"/>
  <c r="C57" i="45"/>
  <c r="G4" i="58"/>
  <c r="F12" i="46"/>
  <c r="K12" i="46" s="1"/>
  <c r="C5" i="58"/>
  <c r="F13" i="46"/>
  <c r="H13" i="46"/>
  <c r="E37" i="39"/>
  <c r="F5" i="46"/>
  <c r="B13" i="43"/>
  <c r="F8" i="46"/>
  <c r="B7" i="46"/>
  <c r="F6" i="46"/>
  <c r="F7" i="46"/>
  <c r="F9" i="46"/>
  <c r="K9" i="46" s="1"/>
  <c r="B27" i="39"/>
  <c r="C42" i="39" s="1"/>
  <c r="B25" i="39"/>
  <c r="C41" i="39" s="1"/>
  <c r="B23" i="39"/>
  <c r="C40" i="39" s="1"/>
  <c r="F40" i="45" l="1"/>
  <c r="G40" i="45" s="1"/>
  <c r="E40" i="45"/>
  <c r="C41" i="43"/>
  <c r="J66" i="43" s="1"/>
  <c r="G14" i="58"/>
  <c r="R28" i="58"/>
  <c r="R20" i="58"/>
  <c r="R18" i="58"/>
  <c r="R21" i="58"/>
  <c r="R27" i="58"/>
  <c r="R12" i="58"/>
  <c r="R10" i="58"/>
  <c r="R13" i="58"/>
  <c r="R24" i="58"/>
  <c r="R19" i="58"/>
  <c r="R17" i="58"/>
  <c r="R15" i="58"/>
  <c r="R31" i="58"/>
  <c r="R23" i="58"/>
  <c r="R29" i="58"/>
  <c r="R30" i="58"/>
  <c r="R11" i="58"/>
  <c r="R25" i="58"/>
  <c r="R32" i="58"/>
  <c r="R16" i="58"/>
  <c r="R26" i="58"/>
  <c r="R22" i="58"/>
  <c r="R14" i="58"/>
  <c r="D57" i="45"/>
  <c r="L44" i="58" s="1"/>
  <c r="E57" i="45"/>
  <c r="F57" i="45" s="1"/>
  <c r="G44" i="58"/>
  <c r="F87" i="43" s="1"/>
  <c r="C8" i="43"/>
  <c r="K6" i="46"/>
  <c r="C7" i="43"/>
  <c r="K5" i="46"/>
  <c r="E74" i="43"/>
  <c r="K13" i="46"/>
  <c r="C10" i="43"/>
  <c r="K8" i="46"/>
  <c r="C9" i="43"/>
  <c r="K7" i="46"/>
  <c r="C74" i="43"/>
  <c r="G22" i="58"/>
  <c r="G29" i="58"/>
  <c r="G12" i="58"/>
  <c r="G19" i="58"/>
  <c r="G11" i="58"/>
  <c r="G26" i="58"/>
  <c r="G32" i="58"/>
  <c r="G31" i="58"/>
  <c r="C11" i="43"/>
  <c r="C12" i="43"/>
  <c r="H15" i="46"/>
  <c r="J74" i="43"/>
  <c r="H16" i="46"/>
  <c r="F11" i="46"/>
  <c r="F14" i="46"/>
  <c r="F10" i="46"/>
  <c r="R33" i="58" l="1"/>
  <c r="C13" i="43"/>
  <c r="K10" i="46"/>
  <c r="G74" i="43"/>
  <c r="K74" i="43" s="1"/>
  <c r="K14" i="46"/>
  <c r="C14" i="43"/>
  <c r="K11" i="46"/>
  <c r="I11" i="58"/>
  <c r="I43" i="58" s="1"/>
  <c r="I29" i="58"/>
  <c r="I61" i="58" s="1"/>
  <c r="I31" i="58"/>
  <c r="I63" i="58" s="1"/>
  <c r="I19" i="58"/>
  <c r="I32" i="58"/>
  <c r="I64" i="58" s="1"/>
  <c r="I14" i="58"/>
  <c r="I46" i="58" s="1"/>
  <c r="F15" i="46"/>
  <c r="K15" i="46" s="1"/>
  <c r="I26" i="58"/>
  <c r="I58" i="58" s="1"/>
  <c r="I12" i="58"/>
  <c r="I22" i="58"/>
  <c r="I54" i="58" s="1"/>
  <c r="F16" i="46"/>
  <c r="K16" i="46" s="1"/>
  <c r="B28" i="45"/>
  <c r="C43" i="45" s="1"/>
  <c r="B26" i="45"/>
  <c r="C42" i="45" s="1"/>
  <c r="B24" i="45"/>
  <c r="C41" i="45" s="1"/>
  <c r="C39" i="26"/>
  <c r="I44" i="58" l="1"/>
  <c r="N44" i="58" s="1"/>
  <c r="H87" i="43" s="1"/>
  <c r="I51" i="58"/>
  <c r="N51" i="58" s="1"/>
  <c r="H94" i="43" s="1"/>
  <c r="E39" i="26"/>
  <c r="F39" i="26" s="1"/>
  <c r="H39" i="26"/>
  <c r="D39" i="26"/>
  <c r="I39" i="26" s="1"/>
  <c r="K62" i="43"/>
  <c r="D41" i="45"/>
  <c r="F41" i="45" s="1"/>
  <c r="G41" i="45" s="1"/>
  <c r="D42" i="45"/>
  <c r="F42" i="45" s="1"/>
  <c r="G42" i="45" s="1"/>
  <c r="D43" i="45"/>
  <c r="F43" i="45" s="1"/>
  <c r="G43" i="45" s="1"/>
  <c r="C56" i="45"/>
  <c r="E56" i="45" l="1"/>
  <c r="F56" i="45" s="1"/>
  <c r="G43" i="58"/>
  <c r="F86" i="43" s="1"/>
  <c r="D45" i="45"/>
  <c r="F45" i="45" s="1"/>
  <c r="G45" i="45" s="1"/>
  <c r="E42" i="45"/>
  <c r="E77" i="43" s="1"/>
  <c r="D77" i="43"/>
  <c r="E41" i="45"/>
  <c r="B77" i="43"/>
  <c r="D56" i="45"/>
  <c r="L43" i="58" s="1"/>
  <c r="E43" i="45"/>
  <c r="F77" i="43"/>
  <c r="D44" i="45"/>
  <c r="F44" i="45" s="1"/>
  <c r="G44" i="45" s="1"/>
  <c r="E45" i="45" l="1"/>
  <c r="J77" i="43"/>
  <c r="G77" i="43"/>
  <c r="E44" i="45"/>
  <c r="C77" i="43"/>
  <c r="B9" i="39"/>
  <c r="D39" i="39" s="1"/>
  <c r="I63" i="43"/>
  <c r="E13" i="43"/>
  <c r="J62" i="43"/>
  <c r="G62" i="43"/>
  <c r="C62" i="43"/>
  <c r="D62" i="43"/>
  <c r="E62" i="43"/>
  <c r="F62" i="43"/>
  <c r="B62" i="43"/>
  <c r="C63" i="45"/>
  <c r="C60" i="45"/>
  <c r="B8" i="45"/>
  <c r="D37" i="45" s="1"/>
  <c r="F37" i="45" s="1"/>
  <c r="G37" i="45" s="1"/>
  <c r="C43" i="26"/>
  <c r="B23" i="43"/>
  <c r="C38" i="26"/>
  <c r="C40" i="26"/>
  <c r="C41" i="26"/>
  <c r="C36" i="26"/>
  <c r="C45" i="26"/>
  <c r="C44" i="26"/>
  <c r="B7" i="26"/>
  <c r="I66" i="43"/>
  <c r="G27" i="42"/>
  <c r="H27" i="42" s="1"/>
  <c r="G26" i="42"/>
  <c r="H26" i="42" s="1"/>
  <c r="F26" i="42"/>
  <c r="G25" i="42"/>
  <c r="H25" i="42" s="1"/>
  <c r="F25" i="42"/>
  <c r="G24" i="42"/>
  <c r="F24" i="42"/>
  <c r="G21" i="42"/>
  <c r="H21" i="42" s="1"/>
  <c r="G20" i="42"/>
  <c r="F20" i="42"/>
  <c r="G19" i="42"/>
  <c r="H19" i="42" s="1"/>
  <c r="F19" i="42"/>
  <c r="F18" i="42"/>
  <c r="G15" i="42"/>
  <c r="H15" i="42" s="1"/>
  <c r="G14" i="42"/>
  <c r="H14" i="42" s="1"/>
  <c r="F14" i="42"/>
  <c r="G13" i="42"/>
  <c r="H13" i="42" s="1"/>
  <c r="F13" i="42"/>
  <c r="F16" i="42" s="1"/>
  <c r="H9" i="42"/>
  <c r="F8" i="42"/>
  <c r="G7" i="42"/>
  <c r="G10" i="42" s="1"/>
  <c r="F7" i="42"/>
  <c r="F10" i="42" s="1"/>
  <c r="D38" i="39"/>
  <c r="D36" i="39"/>
  <c r="D35" i="39"/>
  <c r="C58" i="45"/>
  <c r="C61" i="45"/>
  <c r="C59" i="45"/>
  <c r="C62" i="45"/>
  <c r="F28" i="42" l="1"/>
  <c r="F22" i="42"/>
  <c r="E39" i="39"/>
  <c r="E41" i="43" s="1"/>
  <c r="J67" i="43" s="1"/>
  <c r="F39" i="39"/>
  <c r="G39" i="39" s="1"/>
  <c r="D41" i="43"/>
  <c r="I67" i="43" s="1"/>
  <c r="H40" i="26"/>
  <c r="E40" i="26"/>
  <c r="F40" i="26" s="1"/>
  <c r="H38" i="26"/>
  <c r="E38" i="26"/>
  <c r="H36" i="26"/>
  <c r="E36" i="26"/>
  <c r="F36" i="26" s="1"/>
  <c r="H37" i="26"/>
  <c r="E37" i="26"/>
  <c r="H41" i="26"/>
  <c r="E41" i="26"/>
  <c r="F41" i="26" s="1"/>
  <c r="H43" i="26"/>
  <c r="E43" i="26"/>
  <c r="F43" i="26" s="1"/>
  <c r="H44" i="26"/>
  <c r="E44" i="26"/>
  <c r="F44" i="26" s="1"/>
  <c r="H45" i="26"/>
  <c r="E45" i="26"/>
  <c r="F45" i="26" s="1"/>
  <c r="G16" i="42"/>
  <c r="E59" i="45"/>
  <c r="F59" i="45" s="1"/>
  <c r="G54" i="58"/>
  <c r="F97" i="43" s="1"/>
  <c r="E60" i="45"/>
  <c r="F60" i="45" s="1"/>
  <c r="G58" i="58"/>
  <c r="F101" i="43" s="1"/>
  <c r="E62" i="45"/>
  <c r="F62" i="45" s="1"/>
  <c r="G63" i="58"/>
  <c r="F106" i="43" s="1"/>
  <c r="E61" i="45"/>
  <c r="F61" i="45" s="1"/>
  <c r="G61" i="58"/>
  <c r="F104" i="43" s="1"/>
  <c r="E63" i="45"/>
  <c r="F63" i="45" s="1"/>
  <c r="G64" i="58"/>
  <c r="F107" i="43" s="1"/>
  <c r="E58" i="45"/>
  <c r="F58" i="45" s="1"/>
  <c r="G46" i="58"/>
  <c r="F89" i="43" s="1"/>
  <c r="E36" i="39"/>
  <c r="E36" i="43" s="1"/>
  <c r="D67" i="43" s="1"/>
  <c r="F36" i="39"/>
  <c r="G36" i="39" s="1"/>
  <c r="D39" i="43"/>
  <c r="F38" i="39"/>
  <c r="G38" i="39" s="1"/>
  <c r="D35" i="43"/>
  <c r="F35" i="39"/>
  <c r="G35" i="39" s="1"/>
  <c r="D40" i="39"/>
  <c r="H4" i="58"/>
  <c r="G28" i="42"/>
  <c r="H18" i="42"/>
  <c r="G22" i="42"/>
  <c r="E38" i="39"/>
  <c r="E39" i="43" s="1"/>
  <c r="H7" i="42"/>
  <c r="C77" i="26"/>
  <c r="C73" i="26"/>
  <c r="C69" i="26"/>
  <c r="C65" i="26"/>
  <c r="C61" i="26"/>
  <c r="C75" i="26"/>
  <c r="C67" i="26"/>
  <c r="C63" i="26"/>
  <c r="C70" i="26"/>
  <c r="E55" i="58" s="1"/>
  <c r="C62" i="26"/>
  <c r="C76" i="26"/>
  <c r="C72" i="26"/>
  <c r="C68" i="26"/>
  <c r="C64" i="26"/>
  <c r="C60" i="26"/>
  <c r="C71" i="26"/>
  <c r="C74" i="26"/>
  <c r="C66" i="26"/>
  <c r="B26" i="43"/>
  <c r="D38" i="26"/>
  <c r="F38" i="26"/>
  <c r="D36" i="26"/>
  <c r="B75" i="43"/>
  <c r="B21" i="43"/>
  <c r="F37" i="26"/>
  <c r="K77" i="43"/>
  <c r="K66" i="43" s="1"/>
  <c r="D62" i="45"/>
  <c r="L63" i="58" s="1"/>
  <c r="D59" i="45"/>
  <c r="L54" i="58" s="1"/>
  <c r="D61" i="45"/>
  <c r="L61" i="58" s="1"/>
  <c r="D63" i="45"/>
  <c r="L64" i="58" s="1"/>
  <c r="D58" i="45"/>
  <c r="L46" i="58" s="1"/>
  <c r="D60" i="45"/>
  <c r="L58" i="58" s="1"/>
  <c r="H24" i="42"/>
  <c r="H28" i="42" s="1"/>
  <c r="H20" i="42"/>
  <c r="H12" i="42"/>
  <c r="H16" i="42" s="1"/>
  <c r="D9" i="43" s="1"/>
  <c r="H8" i="42"/>
  <c r="D38" i="43"/>
  <c r="D44" i="26"/>
  <c r="D75" i="43"/>
  <c r="D45" i="26"/>
  <c r="F75" i="43"/>
  <c r="E14" i="43"/>
  <c r="I62" i="43"/>
  <c r="C59" i="39"/>
  <c r="D42" i="39"/>
  <c r="F42" i="39" s="1"/>
  <c r="G42" i="39" s="1"/>
  <c r="D41" i="39"/>
  <c r="F41" i="39" s="1"/>
  <c r="G41" i="39" s="1"/>
  <c r="C58" i="39"/>
  <c r="D40" i="26"/>
  <c r="I40" i="26" s="1"/>
  <c r="B25" i="43"/>
  <c r="C55" i="39"/>
  <c r="E37" i="43"/>
  <c r="E67" i="43" s="1"/>
  <c r="D36" i="43"/>
  <c r="E35" i="39"/>
  <c r="E35" i="43" s="1"/>
  <c r="C67" i="43" s="1"/>
  <c r="E34" i="39"/>
  <c r="E34" i="43" s="1"/>
  <c r="B67" i="43" s="1"/>
  <c r="C62" i="39"/>
  <c r="D34" i="43"/>
  <c r="C60" i="39"/>
  <c r="C61" i="39"/>
  <c r="C57" i="39"/>
  <c r="D35" i="45"/>
  <c r="B36" i="43"/>
  <c r="E37" i="45"/>
  <c r="C36" i="43" s="1"/>
  <c r="D66" i="43" s="1"/>
  <c r="D39" i="45"/>
  <c r="F39" i="45" s="1"/>
  <c r="G39" i="45" s="1"/>
  <c r="D36" i="45"/>
  <c r="F36" i="45" s="1"/>
  <c r="G36" i="45" s="1"/>
  <c r="B22" i="43"/>
  <c r="B24" i="43"/>
  <c r="D41" i="26"/>
  <c r="B27" i="43"/>
  <c r="B20" i="43"/>
  <c r="C47" i="26"/>
  <c r="D43" i="26"/>
  <c r="C46" i="26"/>
  <c r="C23" i="43"/>
  <c r="E64" i="43" s="1"/>
  <c r="D37" i="26"/>
  <c r="H62" i="43"/>
  <c r="E10" i="43"/>
  <c r="E60" i="26" l="1"/>
  <c r="F60" i="26" s="1"/>
  <c r="E42" i="58"/>
  <c r="D85" i="43" s="1"/>
  <c r="D69" i="26"/>
  <c r="J54" i="58" s="1"/>
  <c r="E69" i="26"/>
  <c r="F69" i="26" s="1"/>
  <c r="E54" i="58"/>
  <c r="D97" i="43" s="1"/>
  <c r="D71" i="26"/>
  <c r="J56" i="58" s="1"/>
  <c r="N56" i="58" s="1"/>
  <c r="H99" i="43" s="1"/>
  <c r="E71" i="26"/>
  <c r="F71" i="26" s="1"/>
  <c r="E56" i="58"/>
  <c r="D99" i="43" s="1"/>
  <c r="D72" i="26"/>
  <c r="J57" i="58" s="1"/>
  <c r="N57" i="58" s="1"/>
  <c r="H100" i="43" s="1"/>
  <c r="E72" i="26"/>
  <c r="F72" i="26" s="1"/>
  <c r="E57" i="58"/>
  <c r="D100" i="43" s="1"/>
  <c r="D63" i="26"/>
  <c r="J47" i="58" s="1"/>
  <c r="N47" i="58" s="1"/>
  <c r="H90" i="43" s="1"/>
  <c r="E63" i="26"/>
  <c r="F63" i="26" s="1"/>
  <c r="E47" i="58"/>
  <c r="D90" i="43" s="1"/>
  <c r="D65" i="26"/>
  <c r="J49" i="58" s="1"/>
  <c r="N49" i="58" s="1"/>
  <c r="H92" i="43" s="1"/>
  <c r="E65" i="26"/>
  <c r="F65" i="26" s="1"/>
  <c r="E49" i="58"/>
  <c r="D92" i="43" s="1"/>
  <c r="C20" i="43"/>
  <c r="B64" i="43" s="1"/>
  <c r="I36" i="26"/>
  <c r="D76" i="26"/>
  <c r="J62" i="58" s="1"/>
  <c r="N62" i="58" s="1"/>
  <c r="H105" i="43" s="1"/>
  <c r="E76" i="26"/>
  <c r="F76" i="26" s="1"/>
  <c r="E62" i="58"/>
  <c r="D105" i="43" s="1"/>
  <c r="C26" i="43"/>
  <c r="I64" i="43" s="1"/>
  <c r="I69" i="43" s="1"/>
  <c r="I41" i="26"/>
  <c r="D66" i="26"/>
  <c r="J50" i="58" s="1"/>
  <c r="N50" i="58" s="1"/>
  <c r="H93" i="43" s="1"/>
  <c r="E66" i="26"/>
  <c r="F66" i="26" s="1"/>
  <c r="E50" i="58"/>
  <c r="D93" i="43" s="1"/>
  <c r="D64" i="26"/>
  <c r="J48" i="58" s="1"/>
  <c r="N48" i="58" s="1"/>
  <c r="H91" i="43" s="1"/>
  <c r="E64" i="26"/>
  <c r="F64" i="26" s="1"/>
  <c r="E48" i="58"/>
  <c r="D91" i="43" s="1"/>
  <c r="D62" i="26"/>
  <c r="J46" i="58" s="1"/>
  <c r="E62" i="26"/>
  <c r="F62" i="26" s="1"/>
  <c r="E46" i="58"/>
  <c r="D89" i="43" s="1"/>
  <c r="D75" i="26"/>
  <c r="J60" i="58" s="1"/>
  <c r="N60" i="58" s="1"/>
  <c r="H103" i="43" s="1"/>
  <c r="E75" i="26"/>
  <c r="F75" i="26" s="1"/>
  <c r="E60" i="58"/>
  <c r="D103" i="43" s="1"/>
  <c r="D73" i="26"/>
  <c r="J58" i="58" s="1"/>
  <c r="E73" i="26"/>
  <c r="F73" i="26" s="1"/>
  <c r="E58" i="58"/>
  <c r="D101" i="43" s="1"/>
  <c r="D67" i="26"/>
  <c r="J52" i="58" s="1"/>
  <c r="N52" i="58" s="1"/>
  <c r="H95" i="43" s="1"/>
  <c r="E67" i="26"/>
  <c r="F67" i="26" s="1"/>
  <c r="E52" i="58"/>
  <c r="D95" i="43" s="1"/>
  <c r="C21" i="43"/>
  <c r="C64" i="43" s="1"/>
  <c r="I37" i="26"/>
  <c r="C22" i="43"/>
  <c r="D64" i="43" s="1"/>
  <c r="I38" i="26"/>
  <c r="D74" i="26"/>
  <c r="J59" i="58" s="1"/>
  <c r="N59" i="58" s="1"/>
  <c r="H102" i="43" s="1"/>
  <c r="E74" i="26"/>
  <c r="F74" i="26" s="1"/>
  <c r="E59" i="58"/>
  <c r="D102" i="43" s="1"/>
  <c r="D68" i="26"/>
  <c r="J53" i="58" s="1"/>
  <c r="N53" i="58" s="1"/>
  <c r="H96" i="43" s="1"/>
  <c r="E68" i="26"/>
  <c r="F68" i="26" s="1"/>
  <c r="E53" i="58"/>
  <c r="D96" i="43" s="1"/>
  <c r="D70" i="26"/>
  <c r="J55" i="58" s="1"/>
  <c r="N55" i="58" s="1"/>
  <c r="H98" i="43" s="1"/>
  <c r="E70" i="26"/>
  <c r="F70" i="26" s="1"/>
  <c r="D98" i="43"/>
  <c r="D61" i="26"/>
  <c r="J45" i="58" s="1"/>
  <c r="N45" i="58" s="1"/>
  <c r="H88" i="43" s="1"/>
  <c r="E61" i="26"/>
  <c r="F61" i="26" s="1"/>
  <c r="E45" i="58"/>
  <c r="D88" i="43" s="1"/>
  <c r="D77" i="26"/>
  <c r="J63" i="58" s="1"/>
  <c r="E77" i="26"/>
  <c r="F77" i="26" s="1"/>
  <c r="E63" i="58"/>
  <c r="D106" i="43" s="1"/>
  <c r="C75" i="43"/>
  <c r="I43" i="26"/>
  <c r="H47" i="26"/>
  <c r="E47" i="26"/>
  <c r="F47" i="26" s="1"/>
  <c r="E75" i="43"/>
  <c r="I44" i="26"/>
  <c r="H46" i="26"/>
  <c r="E46" i="26"/>
  <c r="F46" i="26" s="1"/>
  <c r="G75" i="43"/>
  <c r="I45" i="26"/>
  <c r="B34" i="43"/>
  <c r="F35" i="45"/>
  <c r="G35" i="45" s="1"/>
  <c r="B78" i="43"/>
  <c r="B80" i="43" s="1"/>
  <c r="F40" i="39"/>
  <c r="G40" i="39" s="1"/>
  <c r="E60" i="39"/>
  <c r="F60" i="39" s="1"/>
  <c r="H61" i="58"/>
  <c r="G104" i="43" s="1"/>
  <c r="E59" i="39"/>
  <c r="F59" i="39" s="1"/>
  <c r="H58" i="58"/>
  <c r="G101" i="43" s="1"/>
  <c r="E61" i="39"/>
  <c r="F61" i="39" s="1"/>
  <c r="H63" i="58"/>
  <c r="G106" i="43" s="1"/>
  <c r="E57" i="39"/>
  <c r="F57" i="39" s="1"/>
  <c r="H46" i="58"/>
  <c r="G89" i="43" s="1"/>
  <c r="E58" i="39"/>
  <c r="F58" i="39" s="1"/>
  <c r="H54" i="58"/>
  <c r="G97" i="43" s="1"/>
  <c r="H43" i="58"/>
  <c r="G86" i="43" s="1"/>
  <c r="E55" i="39"/>
  <c r="F55" i="39" s="1"/>
  <c r="H64" i="58"/>
  <c r="G107" i="43" s="1"/>
  <c r="E62" i="39"/>
  <c r="F62" i="39" s="1"/>
  <c r="F67" i="43"/>
  <c r="G67" i="43" s="1"/>
  <c r="H67" i="43" s="1"/>
  <c r="D44" i="39"/>
  <c r="F44" i="39" s="1"/>
  <c r="G44" i="39" s="1"/>
  <c r="D11" i="43"/>
  <c r="E11" i="43" s="1"/>
  <c r="D12" i="43"/>
  <c r="H10" i="42"/>
  <c r="D8" i="43" s="1"/>
  <c r="E38" i="43"/>
  <c r="D60" i="26"/>
  <c r="J42" i="58" s="1"/>
  <c r="J75" i="43"/>
  <c r="D59" i="39"/>
  <c r="M58" i="58" s="1"/>
  <c r="D55" i="39"/>
  <c r="M43" i="58" s="1"/>
  <c r="N43" i="58" s="1"/>
  <c r="H22" i="42"/>
  <c r="D7" i="43" s="1"/>
  <c r="E35" i="45"/>
  <c r="C34" i="43" s="1"/>
  <c r="B66" i="43" s="1"/>
  <c r="E41" i="39"/>
  <c r="E78" i="43" s="1"/>
  <c r="D78" i="43"/>
  <c r="D58" i="39"/>
  <c r="M54" i="58" s="1"/>
  <c r="E42" i="39"/>
  <c r="G78" i="43" s="1"/>
  <c r="F78" i="43"/>
  <c r="F80" i="43" s="1"/>
  <c r="E40" i="39"/>
  <c r="C78" i="43" s="1"/>
  <c r="D43" i="39"/>
  <c r="F43" i="39" s="1"/>
  <c r="G43" i="39" s="1"/>
  <c r="C24" i="43"/>
  <c r="C25" i="43"/>
  <c r="F64" i="43" s="1"/>
  <c r="G64" i="43" s="1"/>
  <c r="H64" i="43" s="1"/>
  <c r="D62" i="39"/>
  <c r="M64" i="58" s="1"/>
  <c r="N64" i="58" s="1"/>
  <c r="H107" i="43" s="1"/>
  <c r="D57" i="39"/>
  <c r="M46" i="58" s="1"/>
  <c r="D60" i="39"/>
  <c r="M61" i="58" s="1"/>
  <c r="N61" i="58" s="1"/>
  <c r="H104" i="43" s="1"/>
  <c r="D61" i="39"/>
  <c r="M63" i="58" s="1"/>
  <c r="E38" i="45"/>
  <c r="C37" i="43" s="1"/>
  <c r="E66" i="43" s="1"/>
  <c r="E69" i="43" s="1"/>
  <c r="B37" i="43"/>
  <c r="B39" i="43"/>
  <c r="E39" i="45"/>
  <c r="B38" i="43"/>
  <c r="B35" i="43"/>
  <c r="E36" i="45"/>
  <c r="C35" i="43" s="1"/>
  <c r="C66" i="43" s="1"/>
  <c r="D42" i="26"/>
  <c r="D46" i="26"/>
  <c r="I46" i="26" s="1"/>
  <c r="D47" i="26"/>
  <c r="I47" i="26" s="1"/>
  <c r="N46" i="58" l="1"/>
  <c r="H89" i="43" s="1"/>
  <c r="E80" i="43"/>
  <c r="N42" i="58"/>
  <c r="H85" i="43" s="1"/>
  <c r="C27" i="43"/>
  <c r="J64" i="43" s="1"/>
  <c r="J69" i="43" s="1"/>
  <c r="I42" i="26"/>
  <c r="N63" i="58"/>
  <c r="H106" i="43" s="1"/>
  <c r="N58" i="58"/>
  <c r="H101" i="43" s="1"/>
  <c r="K75" i="43"/>
  <c r="K64" i="43" s="1"/>
  <c r="G80" i="43"/>
  <c r="N54" i="58"/>
  <c r="H86" i="43"/>
  <c r="C80" i="43"/>
  <c r="K78" i="43"/>
  <c r="K67" i="43" s="1"/>
  <c r="D80" i="43"/>
  <c r="J78" i="43"/>
  <c r="J80" i="43" s="1"/>
  <c r="E8" i="43"/>
  <c r="G63" i="43"/>
  <c r="E43" i="39"/>
  <c r="E44" i="39"/>
  <c r="C39" i="43"/>
  <c r="F66" i="43" s="1"/>
  <c r="C38" i="43"/>
  <c r="F63" i="43"/>
  <c r="D63" i="43"/>
  <c r="D69" i="43" s="1"/>
  <c r="E9" i="43"/>
  <c r="B63" i="43"/>
  <c r="B69" i="43" s="1"/>
  <c r="E7" i="43"/>
  <c r="N66" i="58" l="1"/>
  <c r="N65" i="58"/>
  <c r="F69" i="43"/>
  <c r="H97" i="43"/>
  <c r="H109" i="43" s="1"/>
  <c r="K69" i="43"/>
  <c r="G66" i="43"/>
  <c r="G69" i="43" s="1"/>
  <c r="K80" i="43"/>
  <c r="C63" i="43"/>
  <c r="C69" i="43" s="1"/>
  <c r="E12" i="43"/>
  <c r="H63" i="43"/>
  <c r="H108" i="43" l="1"/>
  <c r="H66" i="43"/>
  <c r="H69" i="43" s="1"/>
</calcChain>
</file>

<file path=xl/sharedStrings.xml><?xml version="1.0" encoding="utf-8"?>
<sst xmlns="http://schemas.openxmlformats.org/spreadsheetml/2006/main" count="1298" uniqueCount="509">
  <si>
    <t>NOx</t>
  </si>
  <si>
    <t>VOC</t>
  </si>
  <si>
    <t>Pollutant</t>
  </si>
  <si>
    <t>CO</t>
  </si>
  <si>
    <t xml:space="preserve">Emissions  (lb/hr) </t>
  </si>
  <si>
    <t>PM</t>
  </si>
  <si>
    <t>Emission Factor (lb/MMBtu)</t>
  </si>
  <si>
    <t>Total</t>
  </si>
  <si>
    <t>Parameter</t>
  </si>
  <si>
    <t xml:space="preserve">Rated Output (hp): </t>
  </si>
  <si>
    <t xml:space="preserve">Fuel Consumption (gal/hr): </t>
  </si>
  <si>
    <t xml:space="preserve">Heat Input (MMBtu/hr): </t>
  </si>
  <si>
    <t>Criteria Pollutants</t>
  </si>
  <si>
    <t>Hazardous Air Pollutants</t>
  </si>
  <si>
    <t>Acetaldehyde</t>
  </si>
  <si>
    <t>Acrolein</t>
  </si>
  <si>
    <t>Benzene</t>
  </si>
  <si>
    <t>Formaldehyde</t>
  </si>
  <si>
    <t>Naphthalene</t>
  </si>
  <si>
    <t>Toluene</t>
  </si>
  <si>
    <t>Xylenes</t>
  </si>
  <si>
    <t>Source</t>
  </si>
  <si>
    <t xml:space="preserve">Parameters </t>
  </si>
  <si>
    <t xml:space="preserve">Units </t>
  </si>
  <si>
    <t>MMBtu/hr</t>
  </si>
  <si>
    <t>HAP</t>
  </si>
  <si>
    <t>NA</t>
  </si>
  <si>
    <t>Dichlorobenzene</t>
  </si>
  <si>
    <t>Ethylbenzene</t>
  </si>
  <si>
    <t>Hexane</t>
  </si>
  <si>
    <t>POM</t>
  </si>
  <si>
    <t>Total HAPs</t>
  </si>
  <si>
    <t>Type</t>
  </si>
  <si>
    <t>Emissions (lb/yr)</t>
  </si>
  <si>
    <t>Shutdowns</t>
  </si>
  <si>
    <t>Startups</t>
  </si>
  <si>
    <t>Cold</t>
  </si>
  <si>
    <t>Warm</t>
  </si>
  <si>
    <t>Hot</t>
  </si>
  <si>
    <t xml:space="preserve">Total </t>
  </si>
  <si>
    <t>Pb</t>
  </si>
  <si>
    <r>
      <t>NO</t>
    </r>
    <r>
      <rPr>
        <vertAlign val="subscript"/>
        <sz val="9"/>
        <color indexed="8"/>
        <rFont val="Book Antiqua"/>
        <family val="1"/>
      </rPr>
      <t>x</t>
    </r>
  </si>
  <si>
    <t xml:space="preserve">Maximum Annual Emissions </t>
  </si>
  <si>
    <t>(lb/hr)</t>
  </si>
  <si>
    <t>Facility-Wide Emissions Summary</t>
  </si>
  <si>
    <t>Unit</t>
  </si>
  <si>
    <r>
      <t>NO</t>
    </r>
    <r>
      <rPr>
        <b/>
        <vertAlign val="subscript"/>
        <sz val="9"/>
        <color indexed="8"/>
        <rFont val="Book Antiqua"/>
        <family val="1"/>
      </rPr>
      <t>x</t>
    </r>
  </si>
  <si>
    <t xml:space="preserve">Auxiliary Boiler </t>
  </si>
  <si>
    <t>Emergency Generator</t>
  </si>
  <si>
    <t>Fire Water Pump</t>
  </si>
  <si>
    <t>(tons/yr)</t>
  </si>
  <si>
    <t xml:space="preserve"> (tons/yr)</t>
  </si>
  <si>
    <t>--</t>
  </si>
  <si>
    <t>kg-lb Conversion Factor</t>
  </si>
  <si>
    <t>CO2 Emission Factor (kg/MMBtu)</t>
  </si>
  <si>
    <t>CO2 Emission Factor (lb/MMBtu)</t>
  </si>
  <si>
    <t>CH4 Emission Factor (kg/MMBtu)</t>
  </si>
  <si>
    <t>CH4 Emission Factor (lb/MMBtu)</t>
  </si>
  <si>
    <t>N2O Emission Factor (kg/MMBtu)</t>
  </si>
  <si>
    <t>N2O Emission Factor (lb/MMBtu)</t>
  </si>
  <si>
    <t>Global Warming Potential - CO2</t>
  </si>
  <si>
    <t>Global Warming Potential - CH4</t>
  </si>
  <si>
    <t>Global Warming Potential - N2O</t>
  </si>
  <si>
    <t>GHG (Mass Basis)</t>
  </si>
  <si>
    <r>
      <t>GHG (CO</t>
    </r>
    <r>
      <rPr>
        <vertAlign val="subscript"/>
        <sz val="9"/>
        <rFont val="Book Antiqua"/>
        <family val="1"/>
      </rPr>
      <t>2</t>
    </r>
    <r>
      <rPr>
        <sz val="9"/>
        <rFont val="Book Antiqua"/>
        <family val="1"/>
      </rPr>
      <t>e Basis)</t>
    </r>
  </si>
  <si>
    <t>Molecular weight of SO2</t>
  </si>
  <si>
    <t>Molecular weight of SO3</t>
  </si>
  <si>
    <t>Molecular weight of H2SO4</t>
  </si>
  <si>
    <t xml:space="preserve">Hazardous Air Pollutant (HAP) </t>
  </si>
  <si>
    <t>Arsenic</t>
  </si>
  <si>
    <t>Chromium</t>
  </si>
  <si>
    <t>Cobalt</t>
  </si>
  <si>
    <t>Fluoranthene</t>
  </si>
  <si>
    <t>Fluorene</t>
  </si>
  <si>
    <t>Manganese</t>
  </si>
  <si>
    <t xml:space="preserve">Mercury </t>
  </si>
  <si>
    <t>Nickel</t>
  </si>
  <si>
    <t>Phenanathrene</t>
  </si>
  <si>
    <t>Pyrene</t>
  </si>
  <si>
    <t>Auxiliary Boiler</t>
  </si>
  <si>
    <t>Emergency Generator and Fire Water Pump</t>
  </si>
  <si>
    <t>Emergency Generator Maximum Short Term Emissions</t>
  </si>
  <si>
    <t xml:space="preserve">Emergency Generator Maximum Annual Emissions                       </t>
  </si>
  <si>
    <t>Fire Water Pump Maximum Short Term Emissions</t>
  </si>
  <si>
    <t>Fire Water Pump Maximum Annual Emissions</t>
  </si>
  <si>
    <t>Maximum Short Term Emissions</t>
  </si>
  <si>
    <t>Total Duration (hr/yr)</t>
  </si>
  <si>
    <r>
      <t>PM/PM</t>
    </r>
    <r>
      <rPr>
        <vertAlign val="subscript"/>
        <sz val="10"/>
        <rFont val="Book Antiqua"/>
        <family val="1"/>
      </rPr>
      <t>10</t>
    </r>
    <r>
      <rPr>
        <sz val="10"/>
        <rFont val="Book Antiqua"/>
        <family val="1"/>
      </rPr>
      <t>/PM</t>
    </r>
    <r>
      <rPr>
        <vertAlign val="subscript"/>
        <sz val="10"/>
        <rFont val="Book Antiqua"/>
        <family val="1"/>
      </rPr>
      <t>2.5</t>
    </r>
  </si>
  <si>
    <t>Emissions (tons/yr)</t>
  </si>
  <si>
    <t>Emission Calculations - Combustion Turbine Startups and Shutdowns</t>
  </si>
  <si>
    <t>Emission Calculations - GHGs</t>
  </si>
  <si>
    <t xml:space="preserve">Natural Gas Heating Value (Btu/scf) </t>
  </si>
  <si>
    <t>Maximum Annual Operation (hr/yr)</t>
  </si>
  <si>
    <t xml:space="preserve">Maximum Annual Fuel Use (MMscf/hr) </t>
  </si>
  <si>
    <t xml:space="preserve">Maximum Annual Fuel Use (scf/hr) </t>
  </si>
  <si>
    <t xml:space="preserve">Maximum Heat Input (Btu/hr) </t>
  </si>
  <si>
    <t xml:space="preserve">Maximum Heat Input (MMBtu/hr): </t>
  </si>
  <si>
    <t>Emission Calculations - HAPs</t>
  </si>
  <si>
    <t>hr/yr</t>
  </si>
  <si>
    <t xml:space="preserve">Fire Water Pump </t>
  </si>
  <si>
    <t>Maximum Heat Input</t>
  </si>
  <si>
    <t>Maximum Emissions (Single HAP)</t>
  </si>
  <si>
    <t xml:space="preserve">Auxiliary Boiler (lb/hr) </t>
  </si>
  <si>
    <t>Emergency Generator (lb/hr)</t>
  </si>
  <si>
    <t>Fire Water Pump (lb/hr)</t>
  </si>
  <si>
    <t>Facility Total (tons/yr)</t>
  </si>
  <si>
    <t>NA = No Emission Factor Available.</t>
  </si>
  <si>
    <t>Emissions from 1 CT (tons/yr)</t>
  </si>
  <si>
    <r>
      <t>H</t>
    </r>
    <r>
      <rPr>
        <b/>
        <vertAlign val="subscript"/>
        <sz val="9"/>
        <color indexed="8"/>
        <rFont val="Book Antiqua"/>
        <family val="1"/>
      </rPr>
      <t>2</t>
    </r>
    <r>
      <rPr>
        <b/>
        <sz val="9"/>
        <color indexed="8"/>
        <rFont val="Book Antiqua"/>
        <family val="1"/>
      </rPr>
      <t>SO</t>
    </r>
    <r>
      <rPr>
        <b/>
        <vertAlign val="subscript"/>
        <sz val="9"/>
        <color indexed="8"/>
        <rFont val="Book Antiqua"/>
        <family val="1"/>
      </rPr>
      <t>4</t>
    </r>
  </si>
  <si>
    <r>
      <t>PM</t>
    </r>
    <r>
      <rPr>
        <b/>
        <vertAlign val="subscript"/>
        <sz val="9"/>
        <color indexed="8"/>
        <rFont val="Book Antiqua"/>
        <family val="1"/>
      </rPr>
      <t>10</t>
    </r>
  </si>
  <si>
    <r>
      <t>SO</t>
    </r>
    <r>
      <rPr>
        <b/>
        <vertAlign val="subscript"/>
        <sz val="9"/>
        <color indexed="8"/>
        <rFont val="Book Antiqua"/>
        <family val="1"/>
      </rPr>
      <t>2</t>
    </r>
  </si>
  <si>
    <r>
      <t>SO</t>
    </r>
    <r>
      <rPr>
        <vertAlign val="subscript"/>
        <sz val="9"/>
        <color indexed="8"/>
        <rFont val="Book Antiqua"/>
        <family val="1"/>
      </rPr>
      <t>2</t>
    </r>
  </si>
  <si>
    <r>
      <t>PM</t>
    </r>
    <r>
      <rPr>
        <vertAlign val="subscript"/>
        <sz val="9"/>
        <color indexed="8"/>
        <rFont val="Book Antiqua"/>
        <family val="1"/>
      </rPr>
      <t>10</t>
    </r>
    <r>
      <rPr>
        <sz val="9"/>
        <color indexed="8"/>
        <rFont val="Book Antiqua"/>
        <family val="1"/>
      </rPr>
      <t>/PM</t>
    </r>
    <r>
      <rPr>
        <vertAlign val="subscript"/>
        <sz val="9"/>
        <color indexed="8"/>
        <rFont val="Book Antiqua"/>
        <family val="1"/>
      </rPr>
      <t>2.5</t>
    </r>
  </si>
  <si>
    <r>
      <t>CO</t>
    </r>
    <r>
      <rPr>
        <vertAlign val="subscript"/>
        <sz val="9"/>
        <rFont val="Book Antiqua"/>
        <family val="1"/>
      </rPr>
      <t>2</t>
    </r>
  </si>
  <si>
    <r>
      <t>CH</t>
    </r>
    <r>
      <rPr>
        <vertAlign val="subscript"/>
        <sz val="9"/>
        <rFont val="Book Antiqua"/>
        <family val="1"/>
      </rPr>
      <t>4</t>
    </r>
  </si>
  <si>
    <r>
      <t>N</t>
    </r>
    <r>
      <rPr>
        <vertAlign val="subscript"/>
        <sz val="9"/>
        <rFont val="Book Antiqua"/>
        <family val="1"/>
      </rPr>
      <t>2</t>
    </r>
    <r>
      <rPr>
        <sz val="9"/>
        <rFont val="Book Antiqua"/>
        <family val="1"/>
      </rPr>
      <t>O</t>
    </r>
  </si>
  <si>
    <t>Emission Calculations - Auxiliary Boiler</t>
  </si>
  <si>
    <t>Maximum Annual Operation</t>
  </si>
  <si>
    <t>Value</t>
  </si>
  <si>
    <t>Heating Value of ULSD (Btu/gal):</t>
  </si>
  <si>
    <t>ULSD Sulfur Content (wt. %):</t>
  </si>
  <si>
    <t>Maximum Annual Operation (hr/yr):</t>
  </si>
  <si>
    <t xml:space="preserve">Rated Output (kW): </t>
  </si>
  <si>
    <t xml:space="preserve">Emissions
(lb/hr) </t>
  </si>
  <si>
    <r>
      <t>(lb/ hr</t>
    </r>
    <r>
      <rPr>
        <sz val="9"/>
        <color indexed="8"/>
        <rFont val="Book Antiqua"/>
        <family val="1"/>
      </rPr>
      <t> </t>
    </r>
    <r>
      <rPr>
        <b/>
        <sz val="9"/>
        <color indexed="8"/>
        <rFont val="Book Antiqua"/>
        <family val="1"/>
      </rPr>
      <t>)</t>
    </r>
  </si>
  <si>
    <r>
      <t>CO</t>
    </r>
    <r>
      <rPr>
        <b/>
        <vertAlign val="subscript"/>
        <sz val="9"/>
        <rFont val="Book Antiqua"/>
        <family val="1"/>
      </rPr>
      <t>2</t>
    </r>
  </si>
  <si>
    <r>
      <t>CH</t>
    </r>
    <r>
      <rPr>
        <b/>
        <vertAlign val="subscript"/>
        <sz val="9"/>
        <rFont val="Book Antiqua"/>
        <family val="1"/>
      </rPr>
      <t>4</t>
    </r>
  </si>
  <si>
    <r>
      <t>N</t>
    </r>
    <r>
      <rPr>
        <b/>
        <vertAlign val="subscript"/>
        <sz val="9"/>
        <rFont val="Book Antiqua"/>
        <family val="1"/>
      </rPr>
      <t>2</t>
    </r>
    <r>
      <rPr>
        <b/>
        <sz val="9"/>
        <rFont val="Book Antiqua"/>
        <family val="1"/>
      </rPr>
      <t>O</t>
    </r>
  </si>
  <si>
    <r>
      <t>CO</t>
    </r>
    <r>
      <rPr>
        <b/>
        <vertAlign val="subscript"/>
        <sz val="9"/>
        <rFont val="Book Antiqua"/>
        <family val="1"/>
      </rPr>
      <t>2</t>
    </r>
    <r>
      <rPr>
        <b/>
        <sz val="9"/>
        <rFont val="Book Antiqua"/>
        <family val="1"/>
      </rPr>
      <t>e</t>
    </r>
  </si>
  <si>
    <r>
      <t>Total CO</t>
    </r>
    <r>
      <rPr>
        <b/>
        <vertAlign val="subscript"/>
        <sz val="9"/>
        <rFont val="Book Antiqua"/>
        <family val="1"/>
      </rPr>
      <t>2</t>
    </r>
    <r>
      <rPr>
        <b/>
        <sz val="9"/>
        <rFont val="Book Antiqua"/>
        <family val="1"/>
      </rPr>
      <t>e</t>
    </r>
  </si>
  <si>
    <r>
      <t>SO</t>
    </r>
    <r>
      <rPr>
        <vertAlign val="subscript"/>
        <sz val="9"/>
        <rFont val="Book Antiqua"/>
        <family val="1"/>
      </rPr>
      <t xml:space="preserve">2 </t>
    </r>
    <r>
      <rPr>
        <vertAlign val="superscript"/>
        <sz val="9"/>
        <rFont val="Book Antiqua"/>
        <family val="1"/>
      </rPr>
      <t>(3)</t>
    </r>
  </si>
  <si>
    <r>
      <t>H</t>
    </r>
    <r>
      <rPr>
        <vertAlign val="subscript"/>
        <sz val="9"/>
        <rFont val="Book Antiqua"/>
        <family val="1"/>
      </rPr>
      <t>2</t>
    </r>
    <r>
      <rPr>
        <sz val="9"/>
        <rFont val="Book Antiqua"/>
        <family val="1"/>
      </rPr>
      <t>SO</t>
    </r>
    <r>
      <rPr>
        <vertAlign val="subscript"/>
        <sz val="9"/>
        <rFont val="Book Antiqua"/>
        <family val="1"/>
      </rPr>
      <t>4</t>
    </r>
    <r>
      <rPr>
        <vertAlign val="superscript"/>
        <sz val="9"/>
        <rFont val="Book Antiqua"/>
        <family val="1"/>
      </rPr>
      <t>(4)</t>
    </r>
  </si>
  <si>
    <r>
      <t>CO</t>
    </r>
    <r>
      <rPr>
        <vertAlign val="subscript"/>
        <sz val="9"/>
        <rFont val="Book Antiqua"/>
        <family val="1"/>
      </rPr>
      <t xml:space="preserve">2 </t>
    </r>
    <r>
      <rPr>
        <vertAlign val="superscript"/>
        <sz val="9"/>
        <rFont val="Book Antiqua"/>
        <family val="1"/>
      </rPr>
      <t>(5)</t>
    </r>
  </si>
  <si>
    <r>
      <t>CH</t>
    </r>
    <r>
      <rPr>
        <vertAlign val="subscript"/>
        <sz val="9"/>
        <rFont val="Book Antiqua"/>
        <family val="1"/>
      </rPr>
      <t xml:space="preserve">4 </t>
    </r>
    <r>
      <rPr>
        <vertAlign val="superscript"/>
        <sz val="9"/>
        <rFont val="Book Antiqua"/>
        <family val="1"/>
      </rPr>
      <t>(5)</t>
    </r>
  </si>
  <si>
    <r>
      <t>N</t>
    </r>
    <r>
      <rPr>
        <vertAlign val="subscript"/>
        <sz val="9"/>
        <rFont val="Book Antiqua"/>
        <family val="1"/>
      </rPr>
      <t>2</t>
    </r>
    <r>
      <rPr>
        <sz val="9"/>
        <rFont val="Book Antiqua"/>
        <family val="1"/>
      </rPr>
      <t xml:space="preserve">O </t>
    </r>
    <r>
      <rPr>
        <vertAlign val="superscript"/>
        <sz val="9"/>
        <rFont val="Book Antiqua"/>
        <family val="1"/>
      </rPr>
      <t>(5)</t>
    </r>
  </si>
  <si>
    <r>
      <t>(2)</t>
    </r>
    <r>
      <rPr>
        <sz val="9"/>
        <rFont val="Book Antiqua"/>
        <family val="1"/>
      </rPr>
      <t xml:space="preserve"> Emission factors obtained from potential vendor.</t>
    </r>
  </si>
  <si>
    <r>
      <t xml:space="preserve">(7) </t>
    </r>
    <r>
      <rPr>
        <sz val="9"/>
        <rFont val="Book Antiqua"/>
        <family val="1"/>
      </rPr>
      <t>For each GHG, emissions are normalized to a CO</t>
    </r>
    <r>
      <rPr>
        <vertAlign val="subscript"/>
        <sz val="9"/>
        <rFont val="Book Antiqua"/>
        <family val="1"/>
      </rPr>
      <t>2</t>
    </r>
    <r>
      <rPr>
        <sz val="9"/>
        <rFont val="Book Antiqua"/>
        <family val="1"/>
      </rPr>
      <t xml:space="preserve">e basis by multiplying the mass emissions of each individual GHG pollutant by its respective Global warming potentials (GWP).  GWP of each pollutant established by 40 CFR Part 98, Subpart A: General Provisions, Table A-1.   </t>
    </r>
  </si>
  <si>
    <r>
      <t>(6)</t>
    </r>
    <r>
      <rPr>
        <sz val="9"/>
        <rFont val="Book Antiqua"/>
        <family val="1"/>
      </rPr>
      <t xml:space="preserve"> The sum of potential annual GHG emissions on a mass basis (i.e., no GWP applied).</t>
    </r>
  </si>
  <si>
    <r>
      <t xml:space="preserve">(8) </t>
    </r>
    <r>
      <rPr>
        <sz val="9"/>
        <rFont val="Book Antiqua"/>
        <family val="1"/>
      </rPr>
      <t>The sum of potential annual GHG emissions on a CO</t>
    </r>
    <r>
      <rPr>
        <vertAlign val="subscript"/>
        <sz val="9"/>
        <rFont val="Book Antiqua"/>
        <family val="1"/>
      </rPr>
      <t>2</t>
    </r>
    <r>
      <rPr>
        <sz val="9"/>
        <rFont val="Book Antiqua"/>
        <family val="1"/>
      </rPr>
      <t>e basis.</t>
    </r>
  </si>
  <si>
    <r>
      <t xml:space="preserve">GHG (Mass Basis) </t>
    </r>
    <r>
      <rPr>
        <vertAlign val="superscript"/>
        <sz val="9"/>
        <rFont val="Book Antiqua"/>
        <family val="1"/>
      </rPr>
      <t>(6)</t>
    </r>
  </si>
  <si>
    <r>
      <t>GHG (CO</t>
    </r>
    <r>
      <rPr>
        <vertAlign val="subscript"/>
        <sz val="9"/>
        <rFont val="Book Antiqua"/>
        <family val="1"/>
      </rPr>
      <t>2</t>
    </r>
    <r>
      <rPr>
        <sz val="9"/>
        <rFont val="Book Antiqua"/>
        <family val="1"/>
      </rPr>
      <t xml:space="preserve">e Basis) </t>
    </r>
    <r>
      <rPr>
        <vertAlign val="superscript"/>
        <sz val="9"/>
        <rFont val="Book Antiqua"/>
        <family val="1"/>
      </rPr>
      <t>(7, 8)</t>
    </r>
  </si>
  <si>
    <r>
      <t>Emission Factor (lb/MMBtu)</t>
    </r>
    <r>
      <rPr>
        <b/>
        <vertAlign val="superscript"/>
        <sz val="9"/>
        <rFont val="Book Antiqua"/>
        <family val="1"/>
      </rPr>
      <t>(2, 5)</t>
    </r>
  </si>
  <si>
    <r>
      <t xml:space="preserve">-- </t>
    </r>
    <r>
      <rPr>
        <vertAlign val="superscript"/>
        <sz val="9"/>
        <color indexed="8"/>
        <rFont val="Book Antiqua"/>
        <family val="1"/>
      </rPr>
      <t>(1)</t>
    </r>
  </si>
  <si>
    <r>
      <t>(1)</t>
    </r>
    <r>
      <rPr>
        <i/>
        <sz val="8"/>
        <color rgb="FF000000"/>
        <rFont val="Book Antiqua"/>
        <family val="1"/>
      </rPr>
      <t xml:space="preserve">Worst-case annual emissions are addressed by steady-state operation. </t>
    </r>
  </si>
  <si>
    <t>No. of Combustion Turbines</t>
  </si>
  <si>
    <t>Natural Gas Heating Value (Btu/lb - HHV)</t>
  </si>
  <si>
    <t>Natural Gas Heating Value (Btu/lb - LHV)</t>
  </si>
  <si>
    <t>LHV-HHV Conversion Factor (Natural Gas)</t>
  </si>
  <si>
    <t>CT Annual Capacity Factor (%)</t>
  </si>
  <si>
    <t>CT Annual Operating Hours (hr/yr)</t>
  </si>
  <si>
    <t>Conversion Factor (kg to lb)</t>
  </si>
  <si>
    <r>
      <t>CO</t>
    </r>
    <r>
      <rPr>
        <vertAlign val="subscript"/>
        <sz val="9"/>
        <rFont val="Book Antiqua"/>
        <family val="1"/>
      </rPr>
      <t>2</t>
    </r>
    <r>
      <rPr>
        <sz val="9"/>
        <rFont val="Book Antiqua"/>
        <family val="1"/>
      </rPr>
      <t xml:space="preserve"> Emission Factor (kg/MMBtu)</t>
    </r>
  </si>
  <si>
    <r>
      <t>CO</t>
    </r>
    <r>
      <rPr>
        <vertAlign val="subscript"/>
        <sz val="9"/>
        <rFont val="Book Antiqua"/>
        <family val="1"/>
      </rPr>
      <t>2</t>
    </r>
    <r>
      <rPr>
        <sz val="9"/>
        <rFont val="Book Antiqua"/>
        <family val="1"/>
      </rPr>
      <t xml:space="preserve"> Emission Factor (lb/MMBtu)</t>
    </r>
  </si>
  <si>
    <r>
      <t>CH</t>
    </r>
    <r>
      <rPr>
        <vertAlign val="subscript"/>
        <sz val="9"/>
        <rFont val="Book Antiqua"/>
        <family val="1"/>
      </rPr>
      <t>4</t>
    </r>
    <r>
      <rPr>
        <sz val="9"/>
        <rFont val="Book Antiqua"/>
        <family val="1"/>
      </rPr>
      <t xml:space="preserve"> Emission Factor (kg/MMBtu)</t>
    </r>
  </si>
  <si>
    <r>
      <t>CH</t>
    </r>
    <r>
      <rPr>
        <vertAlign val="subscript"/>
        <sz val="9"/>
        <rFont val="Book Antiqua"/>
        <family val="1"/>
      </rPr>
      <t>4</t>
    </r>
    <r>
      <rPr>
        <sz val="9"/>
        <rFont val="Book Antiqua"/>
        <family val="1"/>
      </rPr>
      <t xml:space="preserve"> Emission Factor (lb/MMBtu)</t>
    </r>
  </si>
  <si>
    <r>
      <t>N</t>
    </r>
    <r>
      <rPr>
        <vertAlign val="subscript"/>
        <sz val="9"/>
        <rFont val="Book Antiqua"/>
        <family val="1"/>
      </rPr>
      <t>2</t>
    </r>
    <r>
      <rPr>
        <sz val="9"/>
        <rFont val="Book Antiqua"/>
        <family val="1"/>
      </rPr>
      <t>O Emission Factor (kg/MMBtu)</t>
    </r>
  </si>
  <si>
    <r>
      <t>N</t>
    </r>
    <r>
      <rPr>
        <vertAlign val="subscript"/>
        <sz val="9"/>
        <rFont val="Book Antiqua"/>
        <family val="1"/>
      </rPr>
      <t>2</t>
    </r>
    <r>
      <rPr>
        <sz val="9"/>
        <rFont val="Book Antiqua"/>
        <family val="1"/>
      </rPr>
      <t>O Emission Factor (lb/MMBtu)</t>
    </r>
  </si>
  <si>
    <r>
      <t>Global Warming Potential - CO</t>
    </r>
    <r>
      <rPr>
        <vertAlign val="subscript"/>
        <sz val="9"/>
        <rFont val="Book Antiqua"/>
        <family val="1"/>
      </rPr>
      <t>2</t>
    </r>
  </si>
  <si>
    <r>
      <t>Global Warming Potential - CH</t>
    </r>
    <r>
      <rPr>
        <vertAlign val="subscript"/>
        <sz val="9"/>
        <rFont val="Book Antiqua"/>
        <family val="1"/>
      </rPr>
      <t>4</t>
    </r>
  </si>
  <si>
    <r>
      <t>Global Warming Potential - N</t>
    </r>
    <r>
      <rPr>
        <vertAlign val="subscript"/>
        <sz val="9"/>
        <rFont val="Book Antiqua"/>
        <family val="1"/>
      </rPr>
      <t>2</t>
    </r>
    <r>
      <rPr>
        <sz val="9"/>
        <rFont val="Book Antiqua"/>
        <family val="1"/>
      </rPr>
      <t>O</t>
    </r>
  </si>
  <si>
    <t>lb/hr</t>
  </si>
  <si>
    <t xml:space="preserve">VOC </t>
  </si>
  <si>
    <r>
      <t>NO</t>
    </r>
    <r>
      <rPr>
        <vertAlign val="subscript"/>
        <sz val="9"/>
        <rFont val="Book Antiqua"/>
        <family val="1"/>
      </rPr>
      <t xml:space="preserve">x </t>
    </r>
  </si>
  <si>
    <r>
      <t>SO</t>
    </r>
    <r>
      <rPr>
        <vertAlign val="subscript"/>
        <sz val="9"/>
        <rFont val="Book Antiqua"/>
        <family val="1"/>
      </rPr>
      <t xml:space="preserve">2 </t>
    </r>
  </si>
  <si>
    <r>
      <t>PM/PM</t>
    </r>
    <r>
      <rPr>
        <vertAlign val="subscript"/>
        <sz val="9"/>
        <rFont val="Book Antiqua"/>
        <family val="1"/>
      </rPr>
      <t>10</t>
    </r>
    <r>
      <rPr>
        <sz val="9"/>
        <rFont val="Book Antiqua"/>
        <family val="1"/>
      </rPr>
      <t>/PM</t>
    </r>
    <r>
      <rPr>
        <vertAlign val="subscript"/>
        <sz val="9"/>
        <rFont val="Book Antiqua"/>
        <family val="1"/>
      </rPr>
      <t>2.5</t>
    </r>
  </si>
  <si>
    <t>Input Data</t>
  </si>
  <si>
    <t>Pb Emission Factor (lb/MMscf)</t>
  </si>
  <si>
    <r>
      <rPr>
        <vertAlign val="superscript"/>
        <sz val="9"/>
        <rFont val="Book Antiqua"/>
        <family val="1"/>
      </rPr>
      <t xml:space="preserve">(2) </t>
    </r>
    <r>
      <rPr>
        <sz val="9"/>
        <rFont val="Book Antiqua"/>
        <family val="1"/>
      </rPr>
      <t>Pb emission factor from USEPA's AP-42, Section 1.4.</t>
    </r>
  </si>
  <si>
    <r>
      <t xml:space="preserve">(4) </t>
    </r>
    <r>
      <rPr>
        <sz val="9"/>
        <rFont val="Book Antiqua"/>
        <family val="1"/>
      </rPr>
      <t xml:space="preserve">Default emission factors obtained from 40 CFR Part 98, Subpart C: General Stationary Fuel Combustion Sources, Tables C-1 and C-2 for natural gas firing.  </t>
    </r>
  </si>
  <si>
    <r>
      <t>(5)</t>
    </r>
    <r>
      <rPr>
        <sz val="9"/>
        <rFont val="Book Antiqua"/>
        <family val="1"/>
      </rPr>
      <t xml:space="preserve"> The sum of potential annual GHG emissions on a mass basis (i.e., no GWP applied).</t>
    </r>
  </si>
  <si>
    <r>
      <t xml:space="preserve">(6) </t>
    </r>
    <r>
      <rPr>
        <sz val="9"/>
        <rFont val="Book Antiqua"/>
        <family val="1"/>
      </rPr>
      <t>For each GHG, emissions are normalized to a CO</t>
    </r>
    <r>
      <rPr>
        <vertAlign val="subscript"/>
        <sz val="9"/>
        <rFont val="Book Antiqua"/>
        <family val="1"/>
      </rPr>
      <t>2</t>
    </r>
    <r>
      <rPr>
        <sz val="9"/>
        <rFont val="Book Antiqua"/>
        <family val="1"/>
      </rPr>
      <t xml:space="preserve">e basis by multiplying the mass emissions of each individual GHG pollutant by its respective Global warming potentials (GWP).  GWP of each pollutant established by 40 CFR Part 98, Subpart A: General Provisions, Table A-1.   </t>
    </r>
  </si>
  <si>
    <r>
      <t xml:space="preserve">(7) </t>
    </r>
    <r>
      <rPr>
        <sz val="9"/>
        <rFont val="Book Antiqua"/>
        <family val="1"/>
      </rPr>
      <t>The sum of potential annual GHG emissions on a CO</t>
    </r>
    <r>
      <rPr>
        <vertAlign val="subscript"/>
        <sz val="9"/>
        <rFont val="Book Antiqua"/>
        <family val="1"/>
      </rPr>
      <t>2</t>
    </r>
    <r>
      <rPr>
        <sz val="9"/>
        <rFont val="Book Antiqua"/>
        <family val="1"/>
      </rPr>
      <t>e basis.</t>
    </r>
  </si>
  <si>
    <r>
      <t>(1)</t>
    </r>
    <r>
      <rPr>
        <sz val="9"/>
        <rFont val="Book Antiqua"/>
        <family val="1"/>
      </rPr>
      <t xml:space="preserve">  PM emission factor includes filterable and condensable fractions.</t>
    </r>
  </si>
  <si>
    <r>
      <t>SO</t>
    </r>
    <r>
      <rPr>
        <vertAlign val="subscript"/>
        <sz val="9"/>
        <rFont val="Book Antiqua"/>
        <family val="1"/>
      </rPr>
      <t>2</t>
    </r>
  </si>
  <si>
    <r>
      <t>NO</t>
    </r>
    <r>
      <rPr>
        <vertAlign val="subscript"/>
        <sz val="9"/>
        <rFont val="Book Antiqua"/>
        <family val="1"/>
      </rPr>
      <t>x</t>
    </r>
  </si>
  <si>
    <t>Fuel Oil Density (lb/gal)</t>
  </si>
  <si>
    <t>Molecular weight of S</t>
  </si>
  <si>
    <t>NOx + NMHC Emission Factor (g/hp-hr)</t>
  </si>
  <si>
    <t>Concentration of NOx</t>
  </si>
  <si>
    <t>Concentration of NMHC</t>
  </si>
  <si>
    <r>
      <t xml:space="preserve">Emission Factor 
(g/hp-hr) </t>
    </r>
    <r>
      <rPr>
        <b/>
        <vertAlign val="superscript"/>
        <sz val="9"/>
        <rFont val="Book Antiqua"/>
        <family val="1"/>
      </rPr>
      <t>(1)</t>
    </r>
  </si>
  <si>
    <r>
      <t xml:space="preserve">(2) </t>
    </r>
    <r>
      <rPr>
        <sz val="9"/>
        <rFont val="Book Antiqua"/>
        <family val="1"/>
      </rPr>
      <t xml:space="preserve">Default emission factors obtained from 40 CFR Part 98, Subpart C: General Stationary Fuel Combustion Sources, Tables C-1 and C-2 for distillate fuel oil No. 2 firing.  </t>
    </r>
  </si>
  <si>
    <r>
      <t xml:space="preserve">(3) </t>
    </r>
    <r>
      <rPr>
        <sz val="9"/>
        <rFont val="Book Antiqua"/>
        <family val="1"/>
      </rPr>
      <t xml:space="preserve">Global warming potentials (GWP) of each pollutant established by 40 CFR Part 98, Subpart A: General Provisions, Table A-1.   </t>
    </r>
  </si>
  <si>
    <r>
      <t xml:space="preserve">(4) </t>
    </r>
    <r>
      <rPr>
        <sz val="9"/>
        <rFont val="Book Antiqua"/>
        <family val="1"/>
      </rPr>
      <t>For each GHG, emissions are normalized to a CO</t>
    </r>
    <r>
      <rPr>
        <vertAlign val="subscript"/>
        <sz val="9"/>
        <rFont val="Book Antiqua"/>
        <family val="1"/>
      </rPr>
      <t>2</t>
    </r>
    <r>
      <rPr>
        <sz val="9"/>
        <rFont val="Book Antiqua"/>
        <family val="1"/>
      </rPr>
      <t xml:space="preserve">e basis by multiplying the mass emissions of each individual GHG pollutant by its respective GWP.  </t>
    </r>
  </si>
  <si>
    <r>
      <t xml:space="preserve">(6) </t>
    </r>
    <r>
      <rPr>
        <sz val="9"/>
        <rFont val="Book Antiqua"/>
        <family val="1"/>
      </rPr>
      <t>The sum of potential annual GHG emissions on a CO</t>
    </r>
    <r>
      <rPr>
        <vertAlign val="subscript"/>
        <sz val="9"/>
        <rFont val="Book Antiqua"/>
        <family val="1"/>
      </rPr>
      <t>2</t>
    </r>
    <r>
      <rPr>
        <sz val="9"/>
        <rFont val="Book Antiqua"/>
        <family val="1"/>
      </rPr>
      <t>e basis.</t>
    </r>
  </si>
  <si>
    <r>
      <t xml:space="preserve">Emission Factor (lb/MMscf) </t>
    </r>
    <r>
      <rPr>
        <b/>
        <vertAlign val="superscript"/>
        <sz val="9"/>
        <rFont val="Book Antiqua"/>
        <family val="1"/>
      </rPr>
      <t>(1)</t>
    </r>
  </si>
  <si>
    <t>Auxiliary Boiler (tons/yr)</t>
  </si>
  <si>
    <t>Emergency Generator (tons/yr)</t>
  </si>
  <si>
    <t>Fire Water Pump (tons/yr)</t>
  </si>
  <si>
    <r>
      <t>CT Emission Factor</t>
    </r>
    <r>
      <rPr>
        <b/>
        <vertAlign val="superscript"/>
        <sz val="9"/>
        <rFont val="Book Antiqua"/>
        <family val="1"/>
      </rPr>
      <t xml:space="preserve">(1) </t>
    </r>
    <r>
      <rPr>
        <b/>
        <sz val="9"/>
        <rFont val="Book Antiqua"/>
        <family val="1"/>
      </rPr>
      <t xml:space="preserve">(lb/MMBtu) </t>
    </r>
  </si>
  <si>
    <t>One CT 
(lb/hr)</t>
  </si>
  <si>
    <t>One CT 
(tons/yr)</t>
  </si>
  <si>
    <r>
      <t>Conversion Factor SO</t>
    </r>
    <r>
      <rPr>
        <vertAlign val="subscript"/>
        <sz val="9"/>
        <rFont val="Book Antiqua"/>
        <family val="1"/>
      </rPr>
      <t>2</t>
    </r>
    <r>
      <rPr>
        <sz val="9"/>
        <rFont val="Book Antiqua"/>
        <family val="1"/>
      </rPr>
      <t xml:space="preserve"> to SO</t>
    </r>
    <r>
      <rPr>
        <vertAlign val="subscript"/>
        <sz val="9"/>
        <rFont val="Book Antiqua"/>
        <family val="1"/>
      </rPr>
      <t>3</t>
    </r>
  </si>
  <si>
    <r>
      <t>Conversion Factor SO</t>
    </r>
    <r>
      <rPr>
        <vertAlign val="subscript"/>
        <sz val="9"/>
        <rFont val="Book Antiqua"/>
        <family val="1"/>
      </rPr>
      <t>3</t>
    </r>
    <r>
      <rPr>
        <sz val="9"/>
        <rFont val="Book Antiqua"/>
        <family val="1"/>
      </rPr>
      <t xml:space="preserve"> to H</t>
    </r>
    <r>
      <rPr>
        <vertAlign val="subscript"/>
        <sz val="9"/>
        <rFont val="Book Antiqua"/>
        <family val="1"/>
      </rPr>
      <t>2</t>
    </r>
    <r>
      <rPr>
        <sz val="9"/>
        <rFont val="Book Antiqua"/>
        <family val="1"/>
      </rPr>
      <t>SO</t>
    </r>
    <r>
      <rPr>
        <vertAlign val="subscript"/>
        <sz val="9"/>
        <rFont val="Book Antiqua"/>
        <family val="1"/>
      </rPr>
      <t>4</t>
    </r>
  </si>
  <si>
    <t>Cadmium</t>
  </si>
  <si>
    <t>Facility Emissions Summary Tables</t>
  </si>
  <si>
    <t>Combined Cycle Systems Emissions Estimates</t>
  </si>
  <si>
    <t>OPERATING POINT</t>
  </si>
  <si>
    <t>Case Description</t>
  </si>
  <si>
    <t>Unfired</t>
  </si>
  <si>
    <t>100% DB Firing</t>
  </si>
  <si>
    <t>10% DB Firing</t>
  </si>
  <si>
    <t>SITE CONDITIONS</t>
  </si>
  <si>
    <t>Ambient Temperature</t>
  </si>
  <si>
    <t>°F</t>
  </si>
  <si>
    <t>Ambient Pressure</t>
  </si>
  <si>
    <t>psia</t>
  </si>
  <si>
    <t>Ambient Relative Humidity</t>
  </si>
  <si>
    <t xml:space="preserve"> %</t>
  </si>
  <si>
    <t>PLANT STATUS</t>
  </si>
  <si>
    <t>HRSG Duct Burner</t>
  </si>
  <si>
    <t>Fired</t>
  </si>
  <si>
    <t>SCR</t>
  </si>
  <si>
    <t>Operating</t>
  </si>
  <si>
    <t>CO Catalyst</t>
  </si>
  <si>
    <t>%</t>
  </si>
  <si>
    <t>Gas Turbines Operating</t>
  </si>
  <si>
    <t>FUEL DATA</t>
  </si>
  <si>
    <t>Fuel Type</t>
  </si>
  <si>
    <t>NG</t>
  </si>
  <si>
    <t>HHV</t>
  </si>
  <si>
    <t>Btu/lb</t>
  </si>
  <si>
    <t>LHV</t>
  </si>
  <si>
    <t>Fuel Mol. Wt.</t>
  </si>
  <si>
    <t>lb/mole</t>
  </si>
  <si>
    <t>Fuel Bound Nitrogen</t>
  </si>
  <si>
    <t>Wt %</t>
  </si>
  <si>
    <t>Fuel Sulfur Content</t>
  </si>
  <si>
    <t>Duct Burner Heat Consumption</t>
  </si>
  <si>
    <t>Composition:</t>
  </si>
  <si>
    <t>Ar</t>
  </si>
  <si>
    <t>mol %</t>
  </si>
  <si>
    <t>CO2</t>
  </si>
  <si>
    <t>H2O</t>
  </si>
  <si>
    <t>N2</t>
  </si>
  <si>
    <t>O2</t>
  </si>
  <si>
    <t>ppmvd @ 15% O2</t>
  </si>
  <si>
    <t>lb/hr as NO2</t>
  </si>
  <si>
    <t>lb/hr as methane</t>
  </si>
  <si>
    <t>lb/hr as SO2</t>
  </si>
  <si>
    <t>HRSG DATA (PER UNIT)</t>
  </si>
  <si>
    <t>HRSG EXIT EXHAUST GAS</t>
  </si>
  <si>
    <t>Molecular weight</t>
  </si>
  <si>
    <t>Temperature</t>
  </si>
  <si>
    <t>Actual Volume Flow</t>
  </si>
  <si>
    <t>Actual ft3/hr</t>
  </si>
  <si>
    <t>HRSG EXIT EXHAUST GAS EMISSIONS</t>
  </si>
  <si>
    <t xml:space="preserve">NOx </t>
  </si>
  <si>
    <t>NH3</t>
  </si>
  <si>
    <t>HHV - Natural Gas</t>
  </si>
  <si>
    <t>LHV - Natural Gas</t>
  </si>
  <si>
    <t>DB</t>
  </si>
  <si>
    <t>2-Methylnaphthalene</t>
  </si>
  <si>
    <r>
      <t>(1)</t>
    </r>
    <r>
      <rPr>
        <sz val="9"/>
        <rFont val="Book Antiqua"/>
        <family val="1"/>
      </rPr>
      <t xml:space="preserve">  Emission factors provided AP-42, Tables 3.4-3 and 3.4-4  Emission factors were not included for pollutants at or below the method detection limits, designated as "less than (&lt;)" in AP-42 emission factor tables. </t>
    </r>
  </si>
  <si>
    <r>
      <rPr>
        <vertAlign val="superscript"/>
        <sz val="9"/>
        <rFont val="Book Antiqua"/>
        <family val="1"/>
      </rPr>
      <t>(2)</t>
    </r>
    <r>
      <rPr>
        <sz val="9"/>
        <rFont val="Book Antiqua"/>
        <family val="1"/>
      </rPr>
      <t xml:space="preserve"> Polycyclic Organic Matter (listed as "Total PAH" in AP-42)</t>
    </r>
  </si>
  <si>
    <r>
      <t>Emission Factor (lb/MMBtu)</t>
    </r>
    <r>
      <rPr>
        <b/>
        <vertAlign val="superscript"/>
        <sz val="9"/>
        <rFont val="Book Antiqua"/>
        <family val="1"/>
      </rPr>
      <t>(1), (2)</t>
    </r>
  </si>
  <si>
    <r>
      <t>Emission Factor 
(g/hp-hr)</t>
    </r>
    <r>
      <rPr>
        <b/>
        <vertAlign val="superscript"/>
        <sz val="9"/>
        <rFont val="Book Antiqua"/>
        <family val="1"/>
      </rPr>
      <t>(1)</t>
    </r>
  </si>
  <si>
    <r>
      <rPr>
        <vertAlign val="superscript"/>
        <sz val="9"/>
        <rFont val="Book Antiqua"/>
        <family val="1"/>
      </rPr>
      <t xml:space="preserve">(2) </t>
    </r>
    <r>
      <rPr>
        <sz val="9"/>
        <rFont val="Book Antiqua"/>
        <family val="1"/>
      </rPr>
      <t>Polycyclic Organic Matter (listed as "Total PAH" in AP-42)</t>
    </r>
  </si>
  <si>
    <r>
      <t>(1)</t>
    </r>
    <r>
      <rPr>
        <sz val="9"/>
        <rFont val="Book Antiqua"/>
        <family val="1"/>
      </rPr>
      <t xml:space="preserve"> Emission factors obtained from AP-42, Ch. 1.4, Tables 1.4-3 and 1.4-4.  Emission factors were not included for pollutants at or below the method detection limits, designated as "less than (&lt;)" in AP-42 emission factor tables. </t>
    </r>
  </si>
  <si>
    <r>
      <t>(1)</t>
    </r>
    <r>
      <rPr>
        <sz val="9"/>
        <rFont val="Book Antiqua"/>
        <family val="1"/>
      </rPr>
      <t xml:space="preserve"> Emission factors obtained from AP-42, Ch. 3.3, Table 3.3-2.   Emission factors were not included for pollutants at or below the method detection limits, designated as "less than (&lt;)" in AP-42 emission factor tables. </t>
    </r>
  </si>
  <si>
    <r>
      <t xml:space="preserve">DB Emission Factor </t>
    </r>
    <r>
      <rPr>
        <b/>
        <vertAlign val="superscript"/>
        <sz val="9"/>
        <rFont val="Book Antiqua"/>
        <family val="1"/>
      </rPr>
      <t xml:space="preserve">(2) </t>
    </r>
    <r>
      <rPr>
        <b/>
        <sz val="9"/>
        <rFont val="Book Antiqua"/>
        <family val="1"/>
      </rPr>
      <t>(lb/MMscf)</t>
    </r>
  </si>
  <si>
    <t xml:space="preserve">One DB 
(lb/hr) </t>
  </si>
  <si>
    <t>One DB 
(tons/yr)</t>
  </si>
  <si>
    <t>One CT + One DB 
(tons/yr)</t>
  </si>
  <si>
    <t xml:space="preserve">Annual Emissions (tons/yr) </t>
  </si>
  <si>
    <r>
      <t>H</t>
    </r>
    <r>
      <rPr>
        <vertAlign val="subscript"/>
        <sz val="9"/>
        <color indexed="8"/>
        <rFont val="Book Antiqua"/>
        <family val="1"/>
      </rPr>
      <t>2</t>
    </r>
    <r>
      <rPr>
        <sz val="9"/>
        <color indexed="8"/>
        <rFont val="Book Antiqua"/>
        <family val="1"/>
      </rPr>
      <t>SO</t>
    </r>
    <r>
      <rPr>
        <vertAlign val="subscript"/>
        <sz val="9"/>
        <color indexed="8"/>
        <rFont val="Book Antiqua"/>
        <family val="1"/>
      </rPr>
      <t>4</t>
    </r>
  </si>
  <si>
    <r>
      <t>PM</t>
    </r>
    <r>
      <rPr>
        <b/>
        <vertAlign val="subscript"/>
        <sz val="9"/>
        <color indexed="8"/>
        <rFont val="Book Antiqua"/>
        <family val="1"/>
      </rPr>
      <t>2.5</t>
    </r>
  </si>
  <si>
    <r>
      <rPr>
        <vertAlign val="superscript"/>
        <sz val="9"/>
        <rFont val="Book Antiqua"/>
        <family val="1"/>
      </rPr>
      <t xml:space="preserve">(3) </t>
    </r>
    <r>
      <rPr>
        <sz val="9"/>
        <rFont val="Book Antiqua"/>
        <family val="1"/>
      </rPr>
      <t>Based on the emissions and performance data provided by GE.</t>
    </r>
  </si>
  <si>
    <r>
      <rPr>
        <vertAlign val="superscript"/>
        <sz val="9"/>
        <rFont val="Book Antiqua"/>
        <family val="1"/>
      </rPr>
      <t>(1)</t>
    </r>
    <r>
      <rPr>
        <sz val="9"/>
        <rFont val="Book Antiqua"/>
        <family val="1"/>
      </rPr>
      <t xml:space="preserve"> Tons/yr = (Maximum lb/hr) x (8,760 hr/yr) x (1 ton/2000 lb).</t>
    </r>
  </si>
  <si>
    <r>
      <t>ton/yr</t>
    </r>
    <r>
      <rPr>
        <b/>
        <vertAlign val="superscript"/>
        <sz val="9"/>
        <rFont val="Book Antiqua"/>
        <family val="1"/>
      </rPr>
      <t>(1)</t>
    </r>
  </si>
  <si>
    <r>
      <t>Pb</t>
    </r>
    <r>
      <rPr>
        <vertAlign val="superscript"/>
        <sz val="9"/>
        <rFont val="Book Antiqua"/>
        <family val="1"/>
      </rPr>
      <t>(2)</t>
    </r>
  </si>
  <si>
    <r>
      <t>H</t>
    </r>
    <r>
      <rPr>
        <vertAlign val="subscript"/>
        <sz val="9"/>
        <rFont val="Book Antiqua"/>
        <family val="1"/>
      </rPr>
      <t>2</t>
    </r>
    <r>
      <rPr>
        <sz val="9"/>
        <rFont val="Book Antiqua"/>
        <family val="1"/>
      </rPr>
      <t>SO</t>
    </r>
    <r>
      <rPr>
        <vertAlign val="subscript"/>
        <sz val="9"/>
        <rFont val="Book Antiqua"/>
        <family val="1"/>
      </rPr>
      <t>4</t>
    </r>
    <r>
      <rPr>
        <vertAlign val="superscript"/>
        <sz val="9"/>
        <rFont val="Book Antiqua"/>
        <family val="1"/>
      </rPr>
      <t>(3)</t>
    </r>
  </si>
  <si>
    <r>
      <t>CO</t>
    </r>
    <r>
      <rPr>
        <vertAlign val="subscript"/>
        <sz val="9"/>
        <rFont val="Book Antiqua"/>
        <family val="1"/>
      </rPr>
      <t>2</t>
    </r>
    <r>
      <rPr>
        <vertAlign val="superscript"/>
        <sz val="9"/>
        <rFont val="Book Antiqua"/>
        <family val="1"/>
      </rPr>
      <t>(3)</t>
    </r>
  </si>
  <si>
    <r>
      <t>CH</t>
    </r>
    <r>
      <rPr>
        <vertAlign val="subscript"/>
        <sz val="9"/>
        <rFont val="Book Antiqua"/>
        <family val="1"/>
      </rPr>
      <t>4</t>
    </r>
    <r>
      <rPr>
        <vertAlign val="superscript"/>
        <sz val="9"/>
        <rFont val="Book Antiqua"/>
        <family val="1"/>
      </rPr>
      <t>(4)</t>
    </r>
  </si>
  <si>
    <r>
      <t>N</t>
    </r>
    <r>
      <rPr>
        <vertAlign val="subscript"/>
        <sz val="9"/>
        <rFont val="Book Antiqua"/>
        <family val="1"/>
      </rPr>
      <t>2</t>
    </r>
    <r>
      <rPr>
        <sz val="9"/>
        <rFont val="Book Antiqua"/>
        <family val="1"/>
      </rPr>
      <t>O</t>
    </r>
    <r>
      <rPr>
        <vertAlign val="superscript"/>
        <sz val="9"/>
        <rFont val="Book Antiqua"/>
        <family val="1"/>
      </rPr>
      <t>(4)</t>
    </r>
  </si>
  <si>
    <r>
      <t>GHG (Mass Basis)</t>
    </r>
    <r>
      <rPr>
        <vertAlign val="superscript"/>
        <sz val="9"/>
        <rFont val="Book Antiqua"/>
        <family val="1"/>
      </rPr>
      <t>(5)</t>
    </r>
  </si>
  <si>
    <r>
      <t>GHG (CO</t>
    </r>
    <r>
      <rPr>
        <vertAlign val="subscript"/>
        <sz val="9"/>
        <rFont val="Book Antiqua"/>
        <family val="1"/>
      </rPr>
      <t>2</t>
    </r>
    <r>
      <rPr>
        <sz val="9"/>
        <rFont val="Book Antiqua"/>
        <family val="1"/>
      </rPr>
      <t>e Basis)</t>
    </r>
    <r>
      <rPr>
        <vertAlign val="superscript"/>
        <sz val="9"/>
        <rFont val="Book Antiqua"/>
        <family val="1"/>
      </rPr>
      <t>(6), (7)</t>
    </r>
  </si>
  <si>
    <r>
      <t>Emissions (lb/event)</t>
    </r>
    <r>
      <rPr>
        <b/>
        <vertAlign val="superscript"/>
        <sz val="10"/>
        <rFont val="Book Antiqua"/>
        <family val="1"/>
      </rPr>
      <t>(1)</t>
    </r>
  </si>
  <si>
    <r>
      <t>Duration (min/event)</t>
    </r>
    <r>
      <rPr>
        <b/>
        <vertAlign val="superscript"/>
        <sz val="10"/>
        <rFont val="Book Antiqua"/>
        <family val="1"/>
      </rPr>
      <t>(1)</t>
    </r>
  </si>
  <si>
    <r>
      <t>No. of Events per Year</t>
    </r>
    <r>
      <rPr>
        <b/>
        <vertAlign val="superscript"/>
        <sz val="10"/>
        <rFont val="Book Antiqua"/>
        <family val="1"/>
      </rPr>
      <t>(1)</t>
    </r>
  </si>
  <si>
    <r>
      <t>(1)</t>
    </r>
    <r>
      <rPr>
        <sz val="10"/>
        <rFont val="Book Antiqua"/>
        <family val="1"/>
      </rPr>
      <t xml:space="preserve">  Startup and shutdown emission rates obtained from GE performance data.</t>
    </r>
  </si>
  <si>
    <r>
      <rPr>
        <vertAlign val="superscript"/>
        <sz val="9"/>
        <rFont val="Book Antiqua"/>
        <family val="1"/>
      </rPr>
      <t xml:space="preserve">(4) </t>
    </r>
    <r>
      <rPr>
        <sz val="9"/>
        <rFont val="Book Antiqua"/>
        <family val="1"/>
      </rPr>
      <t>Exhaust emissions are based on 95% fuel sulfur conversion to SO</t>
    </r>
    <r>
      <rPr>
        <vertAlign val="subscript"/>
        <sz val="9"/>
        <rFont val="Book Antiqua"/>
        <family val="1"/>
      </rPr>
      <t>2</t>
    </r>
    <r>
      <rPr>
        <sz val="9"/>
        <rFont val="Book Antiqua"/>
        <family val="1"/>
      </rPr>
      <t xml:space="preserve"> and 5% fuel sulfur conversion to SO</t>
    </r>
    <r>
      <rPr>
        <vertAlign val="subscript"/>
        <sz val="9"/>
        <rFont val="Book Antiqua"/>
        <family val="1"/>
      </rPr>
      <t>3</t>
    </r>
    <r>
      <rPr>
        <sz val="9"/>
        <rFont val="Book Antiqua"/>
        <family val="1"/>
      </rPr>
      <t>.  Sulfuric acid mist (H</t>
    </r>
    <r>
      <rPr>
        <vertAlign val="subscript"/>
        <sz val="9"/>
        <rFont val="Book Antiqua"/>
        <family val="1"/>
      </rPr>
      <t>2</t>
    </r>
    <r>
      <rPr>
        <sz val="9"/>
        <rFont val="Book Antiqua"/>
        <family val="1"/>
      </rPr>
      <t>SO</t>
    </r>
    <r>
      <rPr>
        <vertAlign val="subscript"/>
        <sz val="9"/>
        <rFont val="Book Antiqua"/>
        <family val="1"/>
      </rPr>
      <t>4</t>
    </r>
    <r>
      <rPr>
        <sz val="9"/>
        <rFont val="Book Antiqua"/>
        <family val="1"/>
      </rPr>
      <t>) emission calculations conservatively assume that all SO</t>
    </r>
    <r>
      <rPr>
        <vertAlign val="subscript"/>
        <sz val="9"/>
        <rFont val="Book Antiqua"/>
        <family val="1"/>
      </rPr>
      <t>3</t>
    </r>
    <r>
      <rPr>
        <sz val="9"/>
        <rFont val="Book Antiqua"/>
        <family val="1"/>
      </rPr>
      <t xml:space="preserve"> combines with water to form sulfur mist.  
SO</t>
    </r>
    <r>
      <rPr>
        <vertAlign val="subscript"/>
        <sz val="9"/>
        <rFont val="Book Antiqua"/>
        <family val="1"/>
      </rPr>
      <t>3</t>
    </r>
    <r>
      <rPr>
        <sz val="9"/>
        <rFont val="Book Antiqua"/>
        <family val="1"/>
      </rPr>
      <t xml:space="preserve"> = SO</t>
    </r>
    <r>
      <rPr>
        <vertAlign val="subscript"/>
        <sz val="9"/>
        <rFont val="Book Antiqua"/>
        <family val="1"/>
      </rPr>
      <t xml:space="preserve">2 </t>
    </r>
    <r>
      <rPr>
        <sz val="9"/>
        <rFont val="Book Antiqua"/>
        <family val="1"/>
      </rPr>
      <t>emissions (lb/hr) * 5% * MW SO</t>
    </r>
    <r>
      <rPr>
        <vertAlign val="subscript"/>
        <sz val="9"/>
        <rFont val="Book Antiqua"/>
        <family val="1"/>
      </rPr>
      <t>3</t>
    </r>
    <r>
      <rPr>
        <sz val="9"/>
        <rFont val="Book Antiqua"/>
        <family val="1"/>
      </rPr>
      <t>/MW SO</t>
    </r>
    <r>
      <rPr>
        <vertAlign val="subscript"/>
        <sz val="9"/>
        <rFont val="Book Antiqua"/>
        <family val="1"/>
      </rPr>
      <t>2</t>
    </r>
    <r>
      <rPr>
        <sz val="9"/>
        <rFont val="Book Antiqua"/>
        <family val="1"/>
      </rPr>
      <t xml:space="preserve">
H</t>
    </r>
    <r>
      <rPr>
        <vertAlign val="subscript"/>
        <sz val="9"/>
        <rFont val="Book Antiqua"/>
        <family val="1"/>
      </rPr>
      <t>2</t>
    </r>
    <r>
      <rPr>
        <sz val="9"/>
        <rFont val="Book Antiqua"/>
        <family val="1"/>
      </rPr>
      <t>SO</t>
    </r>
    <r>
      <rPr>
        <vertAlign val="subscript"/>
        <sz val="9"/>
        <rFont val="Book Antiqua"/>
        <family val="1"/>
      </rPr>
      <t>4</t>
    </r>
    <r>
      <rPr>
        <sz val="9"/>
        <rFont val="Book Antiqua"/>
        <family val="1"/>
      </rPr>
      <t xml:space="preserve"> = SO</t>
    </r>
    <r>
      <rPr>
        <vertAlign val="subscript"/>
        <sz val="9"/>
        <rFont val="Book Antiqua"/>
        <family val="1"/>
      </rPr>
      <t>3</t>
    </r>
    <r>
      <rPr>
        <sz val="9"/>
        <rFont val="Book Antiqua"/>
        <family val="1"/>
      </rPr>
      <t xml:space="preserve"> emissions (lb/hr) * 100% * MW H</t>
    </r>
    <r>
      <rPr>
        <vertAlign val="subscript"/>
        <sz val="9"/>
        <rFont val="Book Antiqua"/>
        <family val="1"/>
      </rPr>
      <t>2</t>
    </r>
    <r>
      <rPr>
        <sz val="9"/>
        <rFont val="Book Antiqua"/>
        <family val="1"/>
      </rPr>
      <t>SO</t>
    </r>
    <r>
      <rPr>
        <vertAlign val="subscript"/>
        <sz val="9"/>
        <rFont val="Book Antiqua"/>
        <family val="1"/>
      </rPr>
      <t>4</t>
    </r>
    <r>
      <rPr>
        <sz val="9"/>
        <rFont val="Book Antiqua"/>
        <family val="1"/>
      </rPr>
      <t>/MW SO</t>
    </r>
    <r>
      <rPr>
        <vertAlign val="subscript"/>
        <sz val="9"/>
        <rFont val="Book Antiqua"/>
        <family val="1"/>
      </rPr>
      <t>3</t>
    </r>
  </si>
  <si>
    <t>Exhaust Flow</t>
  </si>
  <si>
    <t>acfm</t>
  </si>
  <si>
    <t>Stack Diameter</t>
  </si>
  <si>
    <t>ft.</t>
  </si>
  <si>
    <t>Exit Velocity</t>
  </si>
  <si>
    <t>ft/sec</t>
  </si>
  <si>
    <t>Stack Height</t>
  </si>
  <si>
    <t>Exit Temp.</t>
  </si>
  <si>
    <t>in.</t>
  </si>
  <si>
    <t>K</t>
  </si>
  <si>
    <t>in</t>
  </si>
  <si>
    <t>m/s</t>
  </si>
  <si>
    <t>m</t>
  </si>
  <si>
    <r>
      <t>mg/m</t>
    </r>
    <r>
      <rPr>
        <vertAlign val="superscript"/>
        <sz val="9"/>
        <rFont val="Book Antiqua"/>
        <family val="1"/>
      </rPr>
      <t>3</t>
    </r>
  </si>
  <si>
    <t>mg/min</t>
  </si>
  <si>
    <t>Emission Source</t>
  </si>
  <si>
    <t>Count
(Breakers)</t>
  </si>
  <si>
    <t>Global Warming Potential</t>
  </si>
  <si>
    <t>Generator Breakers</t>
  </si>
  <si>
    <t>Switchyard Circuit Breakers</t>
  </si>
  <si>
    <r>
      <t>SF</t>
    </r>
    <r>
      <rPr>
        <b/>
        <vertAlign val="subscript"/>
        <sz val="9"/>
        <rFont val="Book Antiqua"/>
        <family val="1"/>
      </rPr>
      <t>6</t>
    </r>
  </si>
  <si>
    <t>Circuit Breakers</t>
  </si>
  <si>
    <r>
      <t>Global Warming Potential - SF</t>
    </r>
    <r>
      <rPr>
        <vertAlign val="subscript"/>
        <sz val="9"/>
        <rFont val="Book Antiqua"/>
        <family val="1"/>
      </rPr>
      <t>6</t>
    </r>
  </si>
  <si>
    <r>
      <t>CO</t>
    </r>
    <r>
      <rPr>
        <b/>
        <vertAlign val="subscript"/>
        <sz val="9"/>
        <color indexed="8"/>
        <rFont val="Book Antiqua"/>
        <family val="1"/>
      </rPr>
      <t>2</t>
    </r>
    <r>
      <rPr>
        <b/>
        <sz val="9"/>
        <color indexed="8"/>
        <rFont val="Book Antiqua"/>
        <family val="1"/>
      </rPr>
      <t>e</t>
    </r>
  </si>
  <si>
    <r>
      <t>Mass of SF</t>
    </r>
    <r>
      <rPr>
        <vertAlign val="subscript"/>
        <sz val="9"/>
        <rFont val="Book Antiqua"/>
        <family val="1"/>
      </rPr>
      <t xml:space="preserve">6 </t>
    </r>
    <r>
      <rPr>
        <sz val="9"/>
        <rFont val="Book Antiqua"/>
        <family val="1"/>
      </rPr>
      <t>per Breaker 
(lb/Breaker/year)</t>
    </r>
  </si>
  <si>
    <r>
      <t>Annual SF</t>
    </r>
    <r>
      <rPr>
        <vertAlign val="subscript"/>
        <sz val="9"/>
        <rFont val="Book Antiqua"/>
        <family val="1"/>
      </rPr>
      <t>6</t>
    </r>
    <r>
      <rPr>
        <sz val="9"/>
        <rFont val="Book Antiqua"/>
        <family val="1"/>
      </rPr>
      <t xml:space="preserve"> Leak Rate 
(% by weight) </t>
    </r>
  </si>
  <si>
    <r>
      <t>SF</t>
    </r>
    <r>
      <rPr>
        <vertAlign val="subscript"/>
        <sz val="9"/>
        <rFont val="Book Antiqua"/>
        <family val="1"/>
      </rPr>
      <t>6</t>
    </r>
  </si>
  <si>
    <r>
      <t>SF</t>
    </r>
    <r>
      <rPr>
        <vertAlign val="subscript"/>
        <sz val="9"/>
        <rFont val="Book Antiqua"/>
        <family val="1"/>
      </rPr>
      <t>6</t>
    </r>
    <r>
      <rPr>
        <sz val="9"/>
        <rFont val="Book Antiqua"/>
        <family val="1"/>
      </rPr>
      <t xml:space="preserve"> for Breakers (tons/yr) = Number of Breakers x Mass of SF</t>
    </r>
    <r>
      <rPr>
        <vertAlign val="subscript"/>
        <sz val="9"/>
        <rFont val="Book Antiqua"/>
        <family val="1"/>
      </rPr>
      <t>6</t>
    </r>
    <r>
      <rPr>
        <sz val="9"/>
        <rFont val="Book Antiqua"/>
        <family val="1"/>
      </rPr>
      <t xml:space="preserve"> per Breaker (lb) x Annual SF</t>
    </r>
    <r>
      <rPr>
        <vertAlign val="subscript"/>
        <sz val="9"/>
        <rFont val="Book Antiqua"/>
        <family val="1"/>
      </rPr>
      <t>6</t>
    </r>
    <r>
      <rPr>
        <sz val="9"/>
        <rFont val="Book Antiqua"/>
        <family val="1"/>
      </rPr>
      <t xml:space="preserve"> Leak Rate (%) x 1 ton/2000 lb</t>
    </r>
  </si>
  <si>
    <r>
      <t>CO</t>
    </r>
    <r>
      <rPr>
        <vertAlign val="subscript"/>
        <sz val="9"/>
        <rFont val="Book Antiqua"/>
        <family val="1"/>
      </rPr>
      <t>2</t>
    </r>
    <r>
      <rPr>
        <sz val="9"/>
        <rFont val="Book Antiqua"/>
        <family val="1"/>
      </rPr>
      <t>e 
(tons/yr)</t>
    </r>
  </si>
  <si>
    <r>
      <t>SF</t>
    </r>
    <r>
      <rPr>
        <vertAlign val="subscript"/>
        <sz val="9"/>
        <rFont val="Book Antiqua"/>
        <family val="1"/>
      </rPr>
      <t>6</t>
    </r>
    <r>
      <rPr>
        <sz val="9"/>
        <rFont val="Book Antiqua"/>
        <family val="1"/>
      </rPr>
      <t xml:space="preserve"> Mass Emissions
(tons/yr)</t>
    </r>
  </si>
  <si>
    <r>
      <rPr>
        <vertAlign val="superscript"/>
        <sz val="9"/>
        <rFont val="Book Antiqua"/>
        <family val="1"/>
      </rPr>
      <t xml:space="preserve">(2) </t>
    </r>
    <r>
      <rPr>
        <sz val="9"/>
        <rFont val="Book Antiqua"/>
        <family val="1"/>
      </rPr>
      <t>The Global Warming Potential factor for SF</t>
    </r>
    <r>
      <rPr>
        <vertAlign val="subscript"/>
        <sz val="9"/>
        <rFont val="Book Antiqua"/>
        <family val="1"/>
      </rPr>
      <t>6</t>
    </r>
    <r>
      <rPr>
        <sz val="9"/>
        <rFont val="Book Antiqua"/>
        <family val="1"/>
      </rPr>
      <t xml:space="preserve"> was obtained from 40 CFR Part 98, Subpart A, Table A-1. </t>
    </r>
  </si>
  <si>
    <r>
      <rPr>
        <vertAlign val="superscript"/>
        <sz val="9"/>
        <rFont val="Book Antiqua"/>
        <family val="1"/>
      </rPr>
      <t>(1)</t>
    </r>
    <r>
      <rPr>
        <sz val="9"/>
        <rFont val="Book Antiqua"/>
        <family val="1"/>
      </rPr>
      <t>The annual mass emissions of SF</t>
    </r>
    <r>
      <rPr>
        <vertAlign val="subscript"/>
        <sz val="9"/>
        <rFont val="Book Antiqua"/>
        <family val="1"/>
      </rPr>
      <t>6</t>
    </r>
    <r>
      <rPr>
        <sz val="9"/>
        <rFont val="Book Antiqua"/>
        <family val="1"/>
      </rPr>
      <t xml:space="preserve"> from electrical breakers are calculated using the number of breakers, mass of SF</t>
    </r>
    <r>
      <rPr>
        <vertAlign val="subscript"/>
        <sz val="9"/>
        <rFont val="Book Antiqua"/>
        <family val="1"/>
      </rPr>
      <t>6</t>
    </r>
    <r>
      <rPr>
        <sz val="9"/>
        <rFont val="Book Antiqua"/>
        <family val="1"/>
      </rPr>
      <t xml:space="preserve"> per breaker, and annual leak rate as follows: </t>
    </r>
  </si>
  <si>
    <r>
      <t>Emission Calculations - GHGs (SF</t>
    </r>
    <r>
      <rPr>
        <b/>
        <vertAlign val="subscript"/>
        <sz val="9"/>
        <rFont val="Book Antiqua"/>
        <family val="1"/>
      </rPr>
      <t>6</t>
    </r>
    <r>
      <rPr>
        <b/>
        <sz val="9"/>
        <rFont val="Book Antiqua"/>
        <family val="1"/>
      </rPr>
      <t>) from Circuit Breakers</t>
    </r>
  </si>
  <si>
    <t xml:space="preserve">Maximum Annual Fuel Use (MMscf/yr) </t>
  </si>
  <si>
    <t>Natural Gas</t>
  </si>
  <si>
    <t xml:space="preserve">Natural Gas Percentage of Fuel Blend </t>
  </si>
  <si>
    <r>
      <t>40 CFR Part 98 Subpart C Emission Factors for GHG Pollutants</t>
    </r>
    <r>
      <rPr>
        <b/>
        <vertAlign val="superscript"/>
        <sz val="9"/>
        <rFont val="Book Antiqua"/>
        <family val="1"/>
      </rPr>
      <t>(4)</t>
    </r>
  </si>
  <si>
    <r>
      <t>40 CFR Part 98 Subpart C Emission Factors for GHG Pollutants</t>
    </r>
    <r>
      <rPr>
        <b/>
        <vertAlign val="superscript"/>
        <sz val="9"/>
        <rFont val="Book Antiqua"/>
        <family val="1"/>
      </rPr>
      <t>(5)</t>
    </r>
  </si>
  <si>
    <r>
      <t xml:space="preserve">(5) </t>
    </r>
    <r>
      <rPr>
        <sz val="9"/>
        <rFont val="Book Antiqua"/>
        <family val="1"/>
      </rPr>
      <t>Default emission factors obtained from 40 CFR Part 98, Subpart C: General Stationary Fuel Combustion Sources, Tables C-1 and C-2 for natural gas firing and ethane combustion.  Per Table C-2, the default CH</t>
    </r>
    <r>
      <rPr>
        <vertAlign val="subscript"/>
        <sz val="9"/>
        <rFont val="Book Antiqua"/>
        <family val="1"/>
      </rPr>
      <t>4</t>
    </r>
    <r>
      <rPr>
        <sz val="9"/>
        <rFont val="Book Antiqua"/>
        <family val="1"/>
      </rPr>
      <t xml:space="preserve"> and N</t>
    </r>
    <r>
      <rPr>
        <vertAlign val="subscript"/>
        <sz val="9"/>
        <rFont val="Book Antiqua"/>
        <family val="1"/>
      </rPr>
      <t>2</t>
    </r>
    <r>
      <rPr>
        <sz val="9"/>
        <rFont val="Book Antiqua"/>
        <family val="1"/>
      </rPr>
      <t xml:space="preserve">O factors for ethane combustion are those for "Petroleum". </t>
    </r>
  </si>
  <si>
    <t>BASE</t>
  </si>
  <si>
    <t>GT Diluent Injection Type</t>
  </si>
  <si>
    <t>None</t>
  </si>
  <si>
    <t>GT Diluent Injection Flow (per GT)</t>
  </si>
  <si>
    <t>10^3 lb/hr</t>
  </si>
  <si>
    <t>GT Heat Consumption per unit with Permitting Margin See HRSG NOTE 10</t>
  </si>
  <si>
    <t>Mass Flow with Permitting Margin See HRSG NOTE 10</t>
  </si>
  <si>
    <t>The notes page is an integral part of this document and must be reviewed prior to use of this data.</t>
  </si>
  <si>
    <t>Estimated Steady State Emission Notes</t>
  </si>
  <si>
    <t>HRSG Emission Notes:</t>
  </si>
  <si>
    <t>1.  Gas turbine(s) and steam plant are in steady-state operation.</t>
  </si>
  <si>
    <t>2.  HRSG Stack Exhaust emissions are reported based on the following conversion rates:</t>
  </si>
  <si>
    <t xml:space="preserve"> - Gas Turbine:  95% conversion of sulfur to SO2 and 5% conversion to SO3.</t>
  </si>
  <si>
    <t xml:space="preserve"> - Duct Burner:  95% conversion of sulfur to SO2 and 5% conversion to SO3.</t>
  </si>
  <si>
    <t xml:space="preserve"> -  For installations that are equipped with a CO catalyst it is expected that 10% to about 35% of the SO2 in</t>
  </si>
  <si>
    <t xml:space="preserve">    the exhaust gas is converted to SO3.  The actual conversion rate used in these calculations is 30%.</t>
  </si>
  <si>
    <t xml:space="preserve"> - For installations with an SCR catalyst for NOx abatement it is expected that 1% to 5% of the SO2 in the</t>
  </si>
  <si>
    <t xml:space="preserve">    exhaust gas will be converted to SO3.  The actual conversion rate used in these calculations is 5%.</t>
  </si>
  <si>
    <t>3. HRSG Stack NH3 Emissions are based on assuming no conversion to ammonium salts</t>
  </si>
  <si>
    <t>4. Steady State Emissions data above are estimated values based on GE recommended</t>
  </si>
  <si>
    <t xml:space="preserve">    measurements and analysis procedures, per GEK 28172.</t>
  </si>
  <si>
    <t>5. Reference conditions for exhaust gas SCF are: 68°F, and 14.6959 psia.</t>
  </si>
  <si>
    <t xml:space="preserve">    Reference conditions for exhaust gas fuel SCF are: 60°F, and 14.6959 psia.</t>
  </si>
  <si>
    <t>6. Reference conditions for exhaust gas Nm3 are: 32°F, and 14.6959 psia.</t>
  </si>
  <si>
    <t xml:space="preserve">    Reference conditions for gas fuel Nm3 are: 60°F, and 14.6959 psia.</t>
  </si>
  <si>
    <t>7. SO2 emission values have been estimated by assuming that all the sulfur in the fuel is converted to</t>
  </si>
  <si>
    <t xml:space="preserve">    SO2 and is based on maximum S content in the fuel of 0.5 grains/100 SCF @ 60°F for gas. </t>
  </si>
  <si>
    <t xml:space="preserve">    SO2 values are margined by 20% to account for variation in fuel sulfur content and</t>
  </si>
  <si>
    <t xml:space="preserve">    measurement error.</t>
  </si>
  <si>
    <t xml:space="preserve">8. The CO2 estimate derived from the heat rate does not include any margin for measurement errors </t>
  </si>
  <si>
    <t xml:space="preserve">    assuming that the compliance will be demonstrated using the heat rate from the performance test </t>
  </si>
  <si>
    <t xml:space="preserve">    results.  If CO2 compliance is to be demonstrated using actual CO2 measurements from the HRSG stack, </t>
  </si>
  <si>
    <t xml:space="preserve">    GE recommends adding 10% margin to the estimated values.</t>
  </si>
  <si>
    <t xml:space="preserve">9. Sulfur mist emission calculations conservatively assume that all SO3 combines with water to form </t>
  </si>
  <si>
    <t xml:space="preserve">    sulfur mist.  In actuality, some SO3 may form other chemical species.  This would include ammonium </t>
  </si>
  <si>
    <t xml:space="preserve">    sulfates in the presence of NH3.  The maximum sulfur mist is reported to be conservative. </t>
  </si>
  <si>
    <t>10. The estimated values for heat consumption and the exhaust flows are margined in this document</t>
  </si>
  <si>
    <t xml:space="preserve">    to account for equipment variations, site operating conditions and life-cycle operating parameters. </t>
  </si>
  <si>
    <t>Additional Notes for Particulate Emissions</t>
  </si>
  <si>
    <t xml:space="preserve">1. Particulate Matter estimates over the entire emissions compliance region of GT operation are </t>
  </si>
  <si>
    <t xml:space="preserve">    based on field data obtained at base load for the GT. In reality,  particulate matter emissions </t>
  </si>
  <si>
    <t xml:space="preserve">    measured in lb/h are expected to decrease at part load operation and the lb/MMBTU values at </t>
  </si>
  <si>
    <t xml:space="preserve">    part load operation are expected not to exceed the lb/MMBTU value for PM at baseload.</t>
  </si>
  <si>
    <t>2. PM10 and PM2.5 are estimated at the same rate as Total Particulates.</t>
  </si>
  <si>
    <t xml:space="preserve">3. PM estimates are based on maximum S content in the fuel of 0.5 grains/100 SCF @ 60°F for gas. </t>
  </si>
  <si>
    <t>Worst Case Operating Parameters</t>
  </si>
  <si>
    <t>Worst Case Emission Rates</t>
  </si>
  <si>
    <r>
      <t>NO</t>
    </r>
    <r>
      <rPr>
        <vertAlign val="subscript"/>
        <sz val="10"/>
        <rFont val="Calibri"/>
        <family val="2"/>
        <scheme val="minor"/>
      </rPr>
      <t xml:space="preserve">x </t>
    </r>
  </si>
  <si>
    <r>
      <t>PM/PM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/PM</t>
    </r>
    <r>
      <rPr>
        <vertAlign val="subscript"/>
        <sz val="10"/>
        <rFont val="Calibri"/>
        <family val="2"/>
        <scheme val="minor"/>
      </rPr>
      <t>2.5</t>
    </r>
  </si>
  <si>
    <r>
      <t>CO</t>
    </r>
    <r>
      <rPr>
        <vertAlign val="subscript"/>
        <sz val="10"/>
        <rFont val="Calibri"/>
        <family val="2"/>
        <scheme val="minor"/>
      </rPr>
      <t>2</t>
    </r>
  </si>
  <si>
    <r>
      <t>CH</t>
    </r>
    <r>
      <rPr>
        <vertAlign val="subscript"/>
        <sz val="10"/>
        <rFont val="Calibri"/>
        <family val="2"/>
        <scheme val="minor"/>
      </rPr>
      <t>4</t>
    </r>
  </si>
  <si>
    <r>
      <t>N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</si>
  <si>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GHG (CO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e Basis)</t>
    </r>
  </si>
  <si>
    <r>
      <t>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Emission Factor (kg/MMBtu)</t>
    </r>
  </si>
  <si>
    <r>
      <t>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Emission Factor (lb/MMBtu)</t>
    </r>
  </si>
  <si>
    <r>
      <t>CH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Emission Factor (kg/MMBtu)</t>
    </r>
  </si>
  <si>
    <r>
      <t>CH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Emission Factor (lb/MMBtu)</t>
    </r>
  </si>
  <si>
    <r>
      <t>N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 Emission Factor (kg/MMBtu)</t>
    </r>
  </si>
  <si>
    <r>
      <t>N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 Emission Factor (lb/MMBtu)</t>
    </r>
  </si>
  <si>
    <r>
      <t>Global Warming Potential - CO</t>
    </r>
    <r>
      <rPr>
        <vertAlign val="subscript"/>
        <sz val="10"/>
        <rFont val="Calibri"/>
        <family val="2"/>
        <scheme val="minor"/>
      </rPr>
      <t>2</t>
    </r>
  </si>
  <si>
    <r>
      <t>Global Warming Potential - CH</t>
    </r>
    <r>
      <rPr>
        <vertAlign val="subscript"/>
        <sz val="10"/>
        <rFont val="Calibri"/>
        <family val="2"/>
        <scheme val="minor"/>
      </rPr>
      <t>4</t>
    </r>
  </si>
  <si>
    <r>
      <t>Global Warming Potential - N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</si>
  <si>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t>lb/MMBtu</t>
  </si>
  <si>
    <t>VOC (as Methane)</t>
  </si>
  <si>
    <t>Emission Calculations - Fuel Gas Heater</t>
  </si>
  <si>
    <t>Fuel Gas Heater</t>
  </si>
  <si>
    <t>Fuel Gas Heater Maximum Short Term Emissions</t>
  </si>
  <si>
    <t xml:space="preserve">Fuel Gas Heater (lb/hr) </t>
  </si>
  <si>
    <t xml:space="preserve">Fuel Gas Heater </t>
  </si>
  <si>
    <t>Fuel Gas Heater (tons/yr)</t>
  </si>
  <si>
    <t xml:space="preserve">Fuel Gas Heater Maximum Annual Emissions                    </t>
  </si>
  <si>
    <r>
      <t>One DB
mg/m</t>
    </r>
    <r>
      <rPr>
        <vertAlign val="superscript"/>
        <sz val="9"/>
        <rFont val="Book Antiqua"/>
        <family val="1"/>
      </rPr>
      <t>3</t>
    </r>
  </si>
  <si>
    <t>One DB 
 mg/min</t>
  </si>
  <si>
    <r>
      <t>One CT
mg/m</t>
    </r>
    <r>
      <rPr>
        <vertAlign val="superscript"/>
        <sz val="9"/>
        <rFont val="Book Antiqua"/>
        <family val="1"/>
      </rPr>
      <t>3</t>
    </r>
  </si>
  <si>
    <t>One CT 
mg/min</t>
  </si>
  <si>
    <t>m/ft</t>
  </si>
  <si>
    <t>g/lb</t>
  </si>
  <si>
    <t>Conversions</t>
  </si>
  <si>
    <t>Emission Concentrations for Attachment J</t>
  </si>
  <si>
    <t>CT</t>
  </si>
  <si>
    <t>CT -  Startups &amp; Shutdowns</t>
  </si>
  <si>
    <t>One CT + 
One DB
(tons/yr)</t>
  </si>
  <si>
    <t xml:space="preserve">Maximum Hourly Fuel Use (scf/hr) </t>
  </si>
  <si>
    <t xml:space="preserve">Maximum Hourly Fuel Use (MMscf/hr) </t>
  </si>
  <si>
    <t xml:space="preserve">Maximum Annual Fuel Use (MMBtu/yr) </t>
  </si>
  <si>
    <t>One CT + 
One DB
(lb/hr)</t>
  </si>
  <si>
    <t>Emissions 
(mg/min)</t>
  </si>
  <si>
    <r>
      <t>Emissions
(mg/m</t>
    </r>
    <r>
      <rPr>
        <vertAlign val="superscript"/>
        <sz val="9"/>
        <rFont val="Book Antiqua"/>
        <family val="1"/>
      </rPr>
      <t>3</t>
    </r>
    <r>
      <rPr>
        <sz val="9"/>
        <rFont val="Book Antiqua"/>
        <family val="1"/>
      </rPr>
      <t>)</t>
    </r>
  </si>
  <si>
    <r>
      <t>Emissions 
(mg/min)</t>
    </r>
    <r>
      <rPr>
        <b/>
        <vertAlign val="superscript"/>
        <sz val="9"/>
        <rFont val="Book Antiqua"/>
        <family val="1"/>
      </rPr>
      <t>(2)</t>
    </r>
  </si>
  <si>
    <r>
      <t>Emissions
(mg/m</t>
    </r>
    <r>
      <rPr>
        <vertAlign val="superscript"/>
        <sz val="9"/>
        <rFont val="Book Antiqua"/>
        <family val="1"/>
      </rPr>
      <t>3</t>
    </r>
    <r>
      <rPr>
        <sz val="9"/>
        <rFont val="Book Antiqua"/>
        <family val="1"/>
      </rPr>
      <t>)</t>
    </r>
    <r>
      <rPr>
        <vertAlign val="superscript"/>
        <sz val="9"/>
        <rFont val="Book Antiqua"/>
        <family val="1"/>
      </rPr>
      <t>(3)</t>
    </r>
  </si>
  <si>
    <r>
      <rPr>
        <vertAlign val="superscript"/>
        <sz val="9"/>
        <rFont val="Book Antiqua"/>
        <family val="1"/>
      </rPr>
      <t xml:space="preserve">(2) </t>
    </r>
    <r>
      <rPr>
        <sz val="9"/>
        <rFont val="Book Antiqua"/>
        <family val="1"/>
      </rPr>
      <t>Grams per Pound Conversion Factor</t>
    </r>
  </si>
  <si>
    <r>
      <rPr>
        <vertAlign val="superscript"/>
        <sz val="9"/>
        <rFont val="Book Antiqua"/>
        <family val="1"/>
      </rPr>
      <t>(3)</t>
    </r>
    <r>
      <rPr>
        <sz val="9"/>
        <rFont val="Book Antiqua"/>
        <family val="1"/>
      </rPr>
      <t xml:space="preserve"> Based on stack exhaust flow rate of (ACFM)</t>
    </r>
  </si>
  <si>
    <r>
      <t>Emissions 
(mg/min)</t>
    </r>
    <r>
      <rPr>
        <b/>
        <vertAlign val="superscript"/>
        <sz val="9"/>
        <rFont val="Book Antiqua"/>
        <family val="1"/>
      </rPr>
      <t xml:space="preserve">(2) </t>
    </r>
  </si>
  <si>
    <r>
      <t>Emissions
(mg/m</t>
    </r>
    <r>
      <rPr>
        <b/>
        <vertAlign val="superscript"/>
        <sz val="9"/>
        <rFont val="Book Antiqua"/>
        <family val="1"/>
      </rPr>
      <t>3</t>
    </r>
    <r>
      <rPr>
        <b/>
        <sz val="9"/>
        <rFont val="Book Antiqua"/>
        <family val="1"/>
      </rPr>
      <t>)</t>
    </r>
    <r>
      <rPr>
        <b/>
        <vertAlign val="superscript"/>
        <sz val="9"/>
        <rFont val="Book Antiqua"/>
        <family val="1"/>
      </rPr>
      <t>(3)</t>
    </r>
  </si>
  <si>
    <r>
      <rPr>
        <vertAlign val="superscript"/>
        <sz val="9"/>
        <rFont val="Book Antiqua"/>
        <family val="1"/>
      </rPr>
      <t xml:space="preserve">(3) </t>
    </r>
    <r>
      <rPr>
        <sz val="9"/>
        <rFont val="Book Antiqua"/>
        <family val="1"/>
      </rPr>
      <t>Grams per Pound Conversion Factor</t>
    </r>
  </si>
  <si>
    <r>
      <rPr>
        <vertAlign val="superscript"/>
        <sz val="9"/>
        <rFont val="Book Antiqua"/>
        <family val="1"/>
      </rPr>
      <t>(4)</t>
    </r>
    <r>
      <rPr>
        <sz val="9"/>
        <rFont val="Book Antiqua"/>
        <family val="1"/>
      </rPr>
      <t xml:space="preserve"> Based on stack exhaust flow rate of (ACFM)</t>
    </r>
  </si>
  <si>
    <r>
      <t>Emissions 
(mg/min)</t>
    </r>
    <r>
      <rPr>
        <b/>
        <vertAlign val="superscript"/>
        <sz val="9"/>
        <rFont val="Book Antiqua"/>
        <family val="1"/>
      </rPr>
      <t>(3)</t>
    </r>
  </si>
  <si>
    <r>
      <t>Emissions
(mg/m</t>
    </r>
    <r>
      <rPr>
        <b/>
        <vertAlign val="superscript"/>
        <sz val="9"/>
        <rFont val="Book Antiqua"/>
        <family val="1"/>
      </rPr>
      <t>3</t>
    </r>
    <r>
      <rPr>
        <b/>
        <sz val="9"/>
        <rFont val="Book Antiqua"/>
        <family val="1"/>
      </rPr>
      <t>)</t>
    </r>
    <r>
      <rPr>
        <b/>
        <vertAlign val="superscript"/>
        <sz val="9"/>
        <rFont val="Book Antiqua"/>
        <family val="1"/>
      </rPr>
      <t xml:space="preserve">(4) </t>
    </r>
  </si>
  <si>
    <t>ESC Harrison County Power, LLC</t>
  </si>
  <si>
    <t>Combustion Turbines/Duct Burners</t>
  </si>
  <si>
    <r>
      <t>(1)</t>
    </r>
    <r>
      <rPr>
        <sz val="9"/>
        <rFont val="Book Antiqua"/>
        <family val="1"/>
      </rPr>
      <t xml:space="preserve"> Emission factors NOx, CO, PM, and VOC provided by vendor.  SO</t>
    </r>
    <r>
      <rPr>
        <vertAlign val="subscript"/>
        <sz val="9"/>
        <rFont val="Book Antiqua"/>
        <family val="1"/>
      </rPr>
      <t>2</t>
    </r>
    <r>
      <rPr>
        <sz val="9"/>
        <rFont val="Book Antiqua"/>
        <family val="1"/>
      </rPr>
      <t xml:space="preserve"> lb/hr emission rate calculated as a mass balance and based on fuel consumption and fuel oil sulfur content.  </t>
    </r>
  </si>
  <si>
    <t>Pre-Control Emissions</t>
  </si>
  <si>
    <t>Removal Efficiency</t>
  </si>
  <si>
    <t>ton/yr</t>
  </si>
  <si>
    <t xml:space="preserve">Startup and Shutdown Emissions:  
CT                      </t>
  </si>
  <si>
    <t>CT 
(lb/hr)</t>
  </si>
  <si>
    <t>T218 Fuel Sulfur Content</t>
  </si>
  <si>
    <t xml:space="preserve"> (gr/100 scf)</t>
  </si>
  <si>
    <t>Proposed Fuel Sulfur Content</t>
  </si>
  <si>
    <t>Conversion Factor (gr/lb)</t>
  </si>
  <si>
    <r>
      <t>Molecular weight of SO</t>
    </r>
    <r>
      <rPr>
        <vertAlign val="subscript"/>
        <sz val="9"/>
        <rFont val="Book Antiqua"/>
        <family val="1"/>
      </rPr>
      <t>2</t>
    </r>
  </si>
  <si>
    <r>
      <t>Molecular weight of SO</t>
    </r>
    <r>
      <rPr>
        <vertAlign val="subscript"/>
        <sz val="9"/>
        <rFont val="Book Antiqua"/>
        <family val="1"/>
      </rPr>
      <t>3</t>
    </r>
  </si>
  <si>
    <r>
      <t>Molecular weight of H</t>
    </r>
    <r>
      <rPr>
        <vertAlign val="subscript"/>
        <sz val="9"/>
        <rFont val="Book Antiqua"/>
        <family val="1"/>
      </rPr>
      <t>2</t>
    </r>
    <r>
      <rPr>
        <sz val="9"/>
        <rFont val="Book Antiqua"/>
        <family val="1"/>
      </rPr>
      <t>SO</t>
    </r>
    <r>
      <rPr>
        <vertAlign val="subscript"/>
        <sz val="9"/>
        <rFont val="Book Antiqua"/>
        <family val="1"/>
      </rPr>
      <t>4</t>
    </r>
  </si>
  <si>
    <t>Aux Boiler</t>
  </si>
  <si>
    <t>88% DB Firing</t>
  </si>
  <si>
    <r>
      <t xml:space="preserve">(3) </t>
    </r>
    <r>
      <rPr>
        <sz val="9"/>
        <rFont val="Book Antiqua"/>
        <family val="1"/>
      </rPr>
      <t xml:space="preserve"> SO</t>
    </r>
    <r>
      <rPr>
        <vertAlign val="subscript"/>
        <sz val="9"/>
        <rFont val="Book Antiqua"/>
        <family val="1"/>
      </rPr>
      <t xml:space="preserve">2 </t>
    </r>
    <r>
      <rPr>
        <sz val="9"/>
        <rFont val="Book Antiqua"/>
        <family val="1"/>
      </rPr>
      <t xml:space="preserve">lb/hr emission rate calculated as a mass balance and based on fuel consumption and fuel sulfur content.  </t>
    </r>
  </si>
  <si>
    <t xml:space="preserve">Emission Calculations - Emergency Generator (Tier 2) </t>
  </si>
  <si>
    <t>Emission Calculations - Fire Water Pump (Tier 2)</t>
  </si>
  <si>
    <r>
      <t>(1)</t>
    </r>
    <r>
      <rPr>
        <sz val="9"/>
        <rFont val="Book Antiqua"/>
        <family val="1"/>
      </rPr>
      <t xml:space="preserve"> Combustion Turbine (CT) HAP emission factors obtained from EPA's AP-42 Section 3.1, except formaldehyde, which is based on the EPA 95th upper percentile emission factor for CTGs (EPA August 21, 2001 memorandum).  The formaldehyde emission factor of 3.0E-04 was obtained by taking the formaldehyde factor in Table 3 of the 8/21/2001 memo of 2.92E-03 lb/MMBtu and applying a control efficiency of 90% to account for the use of Oxidation Catalysts.  This value was rounded to 3.0E-04.</t>
    </r>
  </si>
  <si>
    <r>
      <t>(2)</t>
    </r>
    <r>
      <rPr>
        <sz val="9"/>
        <rFont val="Book Antiqua"/>
        <family val="1"/>
      </rPr>
      <t xml:space="preserve"> Duct Burner (DB) HAP emission factors obtained from EPA's AP-42 Chapter 1.4, Tables 1.4-3 and 1.4-4.</t>
    </r>
  </si>
  <si>
    <r>
      <t>CT Organic HAP Control Efficiency</t>
    </r>
    <r>
      <rPr>
        <vertAlign val="superscript"/>
        <sz val="9"/>
        <rFont val="Book Antiqua"/>
        <family val="1"/>
      </rPr>
      <t xml:space="preserve">(3) </t>
    </r>
  </si>
  <si>
    <t xml:space="preserve">One CT + One DB 
(lb/hr) </t>
  </si>
  <si>
    <t>CT/DB</t>
  </si>
  <si>
    <t>Actual ft3/min</t>
  </si>
  <si>
    <r>
      <t>Max. Natural Gas Use (ft</t>
    </r>
    <r>
      <rPr>
        <vertAlign val="superscript"/>
        <sz val="9"/>
        <rFont val="Book Antiqua"/>
        <family val="1"/>
      </rPr>
      <t>3</t>
    </r>
    <r>
      <rPr>
        <sz val="9"/>
        <rFont val="Book Antiqua"/>
        <family val="1"/>
      </rPr>
      <t>/hr)</t>
    </r>
  </si>
  <si>
    <r>
      <t>Max. Natural Gas Use (MMft</t>
    </r>
    <r>
      <rPr>
        <vertAlign val="superscript"/>
        <sz val="9"/>
        <rFont val="Book Antiqua"/>
        <family val="1"/>
      </rPr>
      <t>3</t>
    </r>
    <r>
      <rPr>
        <sz val="9"/>
        <rFont val="Book Antiqua"/>
        <family val="1"/>
      </rPr>
      <t>/yr)</t>
    </r>
  </si>
  <si>
    <t>Operating 
Point(s)</t>
  </si>
  <si>
    <t>Total Heat Consumption (CT+DB)</t>
  </si>
  <si>
    <t>Sulfuric Acid Mist @ 0.5 gr/100 scf</t>
  </si>
  <si>
    <t>Sulfuric Acid Mist @ 0.4 gr/100 scf</t>
  </si>
  <si>
    <t>SOx @ 0.5 gr/100 scf</t>
  </si>
  <si>
    <t>SOx @ 0.4 gr/100 scf</t>
  </si>
  <si>
    <r>
      <t>SO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@ 0.4 gr/100 scf</t>
    </r>
  </si>
  <si>
    <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@ 0.4 gr/100 scf</t>
    </r>
  </si>
  <si>
    <t>Maximum Short Term Emissions: 
CT/DB</t>
  </si>
  <si>
    <t xml:space="preserve">Maximum Annual Steady State Emissions: 
CT/DB                  </t>
  </si>
  <si>
    <t>Total Annual Emissions: 
CT/DB</t>
  </si>
  <si>
    <t>CT/DB - Steady State</t>
  </si>
  <si>
    <t xml:space="preserve">DB
(lb/hr) </t>
  </si>
  <si>
    <t>Emission Calculations - Combustion Turbine/Duct Burner</t>
  </si>
  <si>
    <r>
      <t>One CT + One DB 
mg/m</t>
    </r>
    <r>
      <rPr>
        <b/>
        <vertAlign val="superscript"/>
        <sz val="9"/>
        <rFont val="Book Antiqua"/>
        <family val="1"/>
      </rPr>
      <t>3</t>
    </r>
  </si>
  <si>
    <t>Fuel Sulfur Content (gr/100 scf)</t>
  </si>
  <si>
    <t>Fuel Sulfur Content (gr/100  scf)</t>
  </si>
  <si>
    <t>Combustion Turbine/Duct Burners</t>
  </si>
  <si>
    <t>MIN</t>
  </si>
  <si>
    <t>AVG</t>
  </si>
  <si>
    <t>MAX</t>
  </si>
  <si>
    <t>94% DB Firing</t>
  </si>
  <si>
    <t>80% DB Firing</t>
  </si>
  <si>
    <t>91% DB Firing</t>
  </si>
  <si>
    <t>Evaporative Cooler Status</t>
  </si>
  <si>
    <t>off</t>
  </si>
  <si>
    <t>on</t>
  </si>
  <si>
    <t>Net Equipment Combined Cycle Load</t>
  </si>
  <si>
    <t>MECL</t>
  </si>
  <si>
    <t>grains/100 SCF @ 60°F</t>
  </si>
  <si>
    <t>O2, dry basis</t>
  </si>
  <si>
    <t>Mole flow actual</t>
  </si>
  <si>
    <t>lb-mole/hr</t>
  </si>
  <si>
    <t>Mole flow dry</t>
  </si>
  <si>
    <t>lb-mole/hr, dry</t>
  </si>
  <si>
    <t>Mole flow dry at 15% O2</t>
  </si>
  <si>
    <t>lb-mole/hr, dry @ 15% O2</t>
  </si>
  <si>
    <t>Particulates F+C, Including Sulfates</t>
  </si>
  <si>
    <t xml:space="preserve">    The Plant Performance section does not include permitting margin, for more information on </t>
  </si>
  <si>
    <t>    performance please refer to the Heat Balance.</t>
  </si>
  <si>
    <t>Max. Heat Input, CT (MMBtu/hr) (HHV, all conditions)</t>
  </si>
  <si>
    <t>Max. Heat Input, DB (MMBtu/hr) (HHV, all conditions)</t>
  </si>
  <si>
    <t>Max. Heat Input CT + DB (MMBtu/yr) (HHV, all conditions)</t>
  </si>
  <si>
    <t>Max. Heat Input CT + DB (MMBtu/hr) (HHV, all conditions)</t>
  </si>
  <si>
    <r>
      <t>CH</t>
    </r>
    <r>
      <rPr>
        <vertAlign val="subscript"/>
        <sz val="10"/>
        <rFont val="Book Antiqua"/>
        <family val="1"/>
      </rPr>
      <t>4</t>
    </r>
  </si>
  <si>
    <r>
      <t>N</t>
    </r>
    <r>
      <rPr>
        <vertAlign val="subscript"/>
        <sz val="10"/>
        <rFont val="Book Antiqua"/>
        <family val="1"/>
      </rPr>
      <t>2</t>
    </r>
    <r>
      <rPr>
        <sz val="10"/>
        <rFont val="Book Antiqua"/>
        <family val="1"/>
      </rPr>
      <t>O</t>
    </r>
  </si>
  <si>
    <r>
      <t>GHG (CO</t>
    </r>
    <r>
      <rPr>
        <vertAlign val="subscript"/>
        <sz val="10"/>
        <rFont val="Book Antiqua"/>
        <family val="1"/>
      </rPr>
      <t>2</t>
    </r>
    <r>
      <rPr>
        <sz val="10"/>
        <rFont val="Book Antiqua"/>
        <family val="1"/>
      </rPr>
      <t>e Basis)</t>
    </r>
  </si>
  <si>
    <t>Maximum flow rate, based on -12.2°F, 0% DF, evap cooling off, and base load (Operating Point 3).</t>
  </si>
  <si>
    <t>Minimum stack temperature, based on -12.2°F, 100% DF, evap cooling off, and base load (Operating Point 1).</t>
  </si>
  <si>
    <t>MMBtu/hr, HHV</t>
  </si>
  <si>
    <t>Various</t>
  </si>
  <si>
    <t>UncontrolledOne CT 
(lb/hr)</t>
  </si>
  <si>
    <t xml:space="preserve">UncontrolledOne DB 
(lb/hr) </t>
  </si>
  <si>
    <r>
      <t>(3)</t>
    </r>
    <r>
      <rPr>
        <sz val="9"/>
        <rFont val="Book Antiqua"/>
        <family val="1"/>
      </rPr>
      <t xml:space="preserve"> A control efficiency of 90% was applied to CT &amp; DB organic HAP emissions to account for the use of Oxidation Catalysts, with the exception of the CT formaldehyde emissions, which are calculated using a controlled factor.</t>
    </r>
  </si>
  <si>
    <t xml:space="preserve">Uncontrolled One CT + One DB 
(lb/hr) </t>
  </si>
  <si>
    <t xml:space="preserve">Uncontrolled One CT + One DB 
(ton/yr) </t>
  </si>
  <si>
    <t>Stack 1</t>
  </si>
  <si>
    <t>Stack 2</t>
  </si>
  <si>
    <t>Exhaust Flow (per stack)</t>
  </si>
  <si>
    <t>Exhaust Flow (total)</t>
  </si>
  <si>
    <r>
      <t>PM</t>
    </r>
    <r>
      <rPr>
        <vertAlign val="superscript"/>
        <sz val="9"/>
        <rFont val="Book Antiqua"/>
        <family val="1"/>
      </rPr>
      <t xml:space="preserve"> (1)</t>
    </r>
    <r>
      <rPr>
        <sz val="9"/>
        <rFont val="Book Antiqua"/>
        <family val="1"/>
      </rPr>
      <t>/PM</t>
    </r>
    <r>
      <rPr>
        <vertAlign val="subscript"/>
        <sz val="9"/>
        <rFont val="Book Antiqua"/>
        <family val="1"/>
      </rPr>
      <t>10</t>
    </r>
    <r>
      <rPr>
        <sz val="9"/>
        <rFont val="Book Antiqua"/>
        <family val="1"/>
      </rPr>
      <t>/PM</t>
    </r>
    <r>
      <rPr>
        <vertAlign val="subscript"/>
        <sz val="9"/>
        <rFont val="Book Antiqua"/>
        <family val="1"/>
      </rPr>
      <t>2.5</t>
    </r>
  </si>
  <si>
    <r>
      <t xml:space="preserve">(2) </t>
    </r>
    <r>
      <rPr>
        <sz val="10"/>
        <color rgb="FF000000"/>
        <rFont val="Book Antiqua"/>
        <family val="1"/>
      </rPr>
      <t>Startup and shutdown emission rates were not calculated for SO</t>
    </r>
    <r>
      <rPr>
        <vertAlign val="subscript"/>
        <sz val="10"/>
        <color rgb="FF000000"/>
        <rFont val="Book Antiqua"/>
        <family val="1"/>
      </rPr>
      <t>2</t>
    </r>
    <r>
      <rPr>
        <sz val="10"/>
        <color rgb="FF000000"/>
        <rFont val="Book Antiqua"/>
        <family val="1"/>
      </rPr>
      <t>, Pb, H</t>
    </r>
    <r>
      <rPr>
        <vertAlign val="subscript"/>
        <sz val="10"/>
        <color rgb="FF000000"/>
        <rFont val="Book Antiqua"/>
        <family val="1"/>
      </rPr>
      <t>2</t>
    </r>
    <r>
      <rPr>
        <sz val="10"/>
        <color rgb="FF000000"/>
        <rFont val="Book Antiqua"/>
        <family val="1"/>
      </rPr>
      <t>SO</t>
    </r>
    <r>
      <rPr>
        <vertAlign val="subscript"/>
        <sz val="10"/>
        <color rgb="FF000000"/>
        <rFont val="Book Antiqua"/>
        <family val="1"/>
      </rPr>
      <t>4</t>
    </r>
    <r>
      <rPr>
        <sz val="10"/>
        <color rgb="FF000000"/>
        <rFont val="Book Antiqua"/>
        <family val="1"/>
      </rPr>
      <t>, or GHGs.  Worst-case emissions for those pollutants were
assumed to be from steady-state operation.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</si>
</sst>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"/>
    <numFmt numFmtId="167" formatCode="0.0000"/>
    <numFmt numFmtId="168" formatCode="0.000000"/>
    <numFmt numFmtId="169" formatCode="#,##0.0000"/>
    <numFmt numFmtId="170" formatCode="#,##0.000000"/>
    <numFmt numFmtId="171" formatCode="0.0E+00"/>
    <numFmt numFmtId="172" formatCode="#,##0.000"/>
    <numFmt numFmtId="173" formatCode="0.0%"/>
    <numFmt numFmtId="174" formatCode="&quot;$&quot;#,##0\ ;\(&quot;$&quot;#,##0\)"/>
    <numFmt numFmtId="175" formatCode="_(* #,##0.000000_);_(* \(#,##0.000000\);_(* &quot;-&quot;??_);_(@_)"/>
    <numFmt numFmtId="176" formatCode="_([$€-2]* #,##0.00_);_([$€-2]* \(#,##0.00\);_([$€-2]* &quot;-&quot;??_)"/>
    <numFmt numFmtId="177" formatCode="###0.0_);[Red]\(###0.0\)"/>
    <numFmt numFmtId="178" formatCode="mm/dd/yy"/>
    <numFmt numFmtId="179" formatCode="[$-409]d\-mmm\-yyyy;@"/>
    <numFmt numFmtId="180" formatCode="#,##0.0"/>
    <numFmt numFmtId="181" formatCode="#,##0.00000000"/>
  </numFmts>
  <fonts count="8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sz val="10"/>
      <name val="Helvetica"/>
      <family val="2"/>
    </font>
    <font>
      <i/>
      <sz val="11"/>
      <color indexed="23"/>
      <name val="Calibri"/>
      <family val="2"/>
    </font>
    <font>
      <b/>
      <sz val="12"/>
      <name val="Times New Roman"/>
      <family val="1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name val="Wingdings"/>
      <charset val="2"/>
    </font>
    <font>
      <sz val="8"/>
      <name val="Helv"/>
    </font>
    <font>
      <sz val="8"/>
      <name val="MS Sans Serif"/>
      <family val="2"/>
    </font>
    <font>
      <b/>
      <sz val="8"/>
      <color indexed="8"/>
      <name val="Helv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name val="Book Antiqua"/>
      <family val="1"/>
    </font>
    <font>
      <sz val="10"/>
      <name val="Book Antiqua"/>
      <family val="1"/>
    </font>
    <font>
      <vertAlign val="subscript"/>
      <sz val="10"/>
      <name val="Book Antiqua"/>
      <family val="1"/>
    </font>
    <font>
      <vertAlign val="superscript"/>
      <sz val="10"/>
      <name val="Book Antiqua"/>
      <family val="1"/>
    </font>
    <font>
      <b/>
      <vertAlign val="superscript"/>
      <sz val="10"/>
      <name val="Book Antiqua"/>
      <family val="1"/>
    </font>
    <font>
      <b/>
      <sz val="9"/>
      <color indexed="8"/>
      <name val="Book Antiqua"/>
      <family val="1"/>
    </font>
    <font>
      <sz val="9"/>
      <color indexed="8"/>
      <name val="Book Antiqua"/>
      <family val="1"/>
    </font>
    <font>
      <vertAlign val="subscript"/>
      <sz val="9"/>
      <color indexed="8"/>
      <name val="Book Antiqua"/>
      <family val="1"/>
    </font>
    <font>
      <sz val="9"/>
      <name val="Book Antiqua"/>
      <family val="1"/>
    </font>
    <font>
      <b/>
      <vertAlign val="subscript"/>
      <sz val="9"/>
      <color indexed="8"/>
      <name val="Book Antiqua"/>
      <family val="1"/>
    </font>
    <font>
      <vertAlign val="subscript"/>
      <sz val="9"/>
      <name val="Book Antiqua"/>
      <family val="1"/>
    </font>
    <font>
      <b/>
      <sz val="9"/>
      <name val="Book Antiqua"/>
      <family val="1"/>
    </font>
    <font>
      <sz val="9"/>
      <color indexed="10"/>
      <name val="Book Antiqua"/>
      <family val="1"/>
    </font>
    <font>
      <vertAlign val="superscript"/>
      <sz val="9"/>
      <name val="Book Antiqua"/>
      <family val="1"/>
    </font>
    <font>
      <b/>
      <vertAlign val="superscript"/>
      <sz val="9"/>
      <name val="Book Antiqua"/>
      <family val="1"/>
    </font>
    <font>
      <sz val="9"/>
      <name val="Arial"/>
      <family val="2"/>
    </font>
    <font>
      <b/>
      <vertAlign val="subscript"/>
      <sz val="9"/>
      <name val="Book Antiqua"/>
      <family val="1"/>
    </font>
    <font>
      <sz val="9"/>
      <color theme="1"/>
      <name val="Book Antiqua"/>
      <family val="1"/>
    </font>
    <font>
      <i/>
      <vertAlign val="superscript"/>
      <sz val="8"/>
      <color rgb="FF000000"/>
      <name val="Book Antiqua"/>
      <family val="1"/>
    </font>
    <font>
      <i/>
      <sz val="8"/>
      <color rgb="FF000000"/>
      <name val="Book Antiqua"/>
      <family val="1"/>
    </font>
    <font>
      <vertAlign val="superscript"/>
      <sz val="9"/>
      <color indexed="8"/>
      <name val="Book Antiqua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rgb="FF00FF00"/>
      <name val="Consolas"/>
      <family val="3"/>
    </font>
    <font>
      <b/>
      <sz val="10"/>
      <color indexed="12"/>
      <name val="Calibri"/>
      <family val="2"/>
    </font>
    <font>
      <b/>
      <sz val="10"/>
      <color indexed="12"/>
      <name val="Arial"/>
      <family val="2"/>
    </font>
    <font>
      <sz val="10"/>
      <color indexed="22"/>
      <name val="Arial"/>
      <family val="2"/>
    </font>
    <font>
      <b/>
      <i/>
      <sz val="12"/>
      <name val="Calibri"/>
      <family val="2"/>
      <scheme val="minor"/>
    </font>
    <font>
      <b/>
      <sz val="10"/>
      <color rgb="FFC00000"/>
      <name val="Calibri"/>
      <family val="2"/>
    </font>
    <font>
      <b/>
      <sz val="10"/>
      <color indexed="10"/>
      <name val="Arial"/>
      <family val="2"/>
    </font>
    <font>
      <b/>
      <sz val="18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1"/>
      <name val="Book Antiqua"/>
      <family val="1"/>
    </font>
    <font>
      <b/>
      <i/>
      <sz val="9"/>
      <name val="Book Antiqua"/>
      <family val="1"/>
    </font>
    <font>
      <b/>
      <i/>
      <u/>
      <sz val="9"/>
      <color rgb="FFFF0000"/>
      <name val="Book Antiqua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sz val="10"/>
      <color theme="1"/>
      <name val="Book Antiqua"/>
      <family val="1"/>
    </font>
    <font>
      <vertAlign val="superscript"/>
      <sz val="10"/>
      <color rgb="FF000000"/>
      <name val="Book Antiqua"/>
      <family val="1"/>
    </font>
    <font>
      <sz val="10"/>
      <color rgb="FF000000"/>
      <name val="Book Antiqua"/>
      <family val="1"/>
    </font>
    <font>
      <vertAlign val="subscript"/>
      <sz val="10"/>
      <color rgb="FF000000"/>
      <name val="Book Antiqua"/>
      <family val="1"/>
    </font>
    <font>
      <vertAlign val="subscript"/>
      <sz val="10"/>
      <name val="Calibri"/>
      <family val="2"/>
      <scheme val="minor"/>
    </font>
    <font>
      <sz val="10"/>
      <color rgb="FFFF0000"/>
      <name val="Book Antiqua"/>
      <family val="1"/>
    </font>
    <font>
      <b/>
      <sz val="10"/>
      <color indexed="8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rgb="FFFF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theme="1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rgb="FFABDB77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21">
    <xf numFmtId="0" fontId="0" fillId="0" borderId="0"/>
    <xf numFmtId="0" fontId="7" fillId="0" borderId="0"/>
    <xf numFmtId="0" fontId="7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>
      <alignment horizontal="center" wrapText="1"/>
      <protection locked="0"/>
    </xf>
    <xf numFmtId="0" fontId="11" fillId="3" borderId="0" applyNumberFormat="0" applyBorder="0" applyAlignment="0" applyProtection="0"/>
    <xf numFmtId="175" fontId="7" fillId="0" borderId="0" applyFill="0" applyBorder="0" applyAlignment="0"/>
    <xf numFmtId="0" fontId="12" fillId="20" borderId="1" applyNumberFormat="0" applyAlignment="0" applyProtection="0"/>
    <xf numFmtId="0" fontId="13" fillId="21" borderId="2" applyNumberFormat="0" applyAlignment="0" applyProtection="0"/>
    <xf numFmtId="43" fontId="7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14" fillId="0" borderId="0" applyNumberFormat="0" applyAlignment="0">
      <alignment horizontal="left"/>
    </xf>
    <xf numFmtId="44" fontId="7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5" fillId="0" borderId="0" applyNumberFormat="0" applyAlignment="0">
      <alignment horizontal="left"/>
    </xf>
    <xf numFmtId="176" fontId="16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9" fillId="4" borderId="0" applyNumberFormat="0" applyBorder="0" applyAlignment="0" applyProtection="0"/>
    <xf numFmtId="38" fontId="20" fillId="22" borderId="0" applyNumberFormat="0" applyBorder="0" applyAlignment="0" applyProtection="0"/>
    <xf numFmtId="38" fontId="6" fillId="22" borderId="0" applyNumberFormat="0" applyBorder="0" applyAlignment="0" applyProtection="0"/>
    <xf numFmtId="0" fontId="21" fillId="0" borderId="3" applyNumberFormat="0" applyAlignment="0" applyProtection="0">
      <alignment horizontal="left" vertical="center"/>
    </xf>
    <xf numFmtId="0" fontId="21" fillId="0" borderId="4">
      <alignment horizontal="left" vertical="center"/>
    </xf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>
      <alignment horizontal="center"/>
    </xf>
    <xf numFmtId="0" fontId="25" fillId="0" borderId="0">
      <alignment horizontal="center"/>
    </xf>
    <xf numFmtId="0" fontId="26" fillId="7" borderId="1" applyNumberFormat="0" applyAlignment="0" applyProtection="0"/>
    <xf numFmtId="10" fontId="20" fillId="23" borderId="7" applyNumberFormat="0" applyBorder="0" applyAlignment="0" applyProtection="0"/>
    <xf numFmtId="10" fontId="6" fillId="23" borderId="7" applyNumberFormat="0" applyBorder="0" applyAlignment="0" applyProtection="0"/>
    <xf numFmtId="0" fontId="27" fillId="0" borderId="8" applyNumberFormat="0" applyFill="0" applyAlignment="0" applyProtection="0"/>
    <xf numFmtId="0" fontId="28" fillId="24" borderId="0" applyNumberFormat="0" applyBorder="0" applyAlignment="0" applyProtection="0"/>
    <xf numFmtId="177" fontId="7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8" fillId="25" borderId="9" applyNumberFormat="0" applyFont="0" applyAlignment="0" applyProtection="0"/>
    <xf numFmtId="0" fontId="29" fillId="20" borderId="10" applyNumberFormat="0" applyAlignment="0" applyProtection="0"/>
    <xf numFmtId="14" fontId="10" fillId="0" borderId="0">
      <alignment horizontal="center" wrapText="1"/>
      <protection locked="0"/>
    </xf>
    <xf numFmtId="9" fontId="5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37" fillId="0" borderId="6">
      <alignment horizontal="center"/>
    </xf>
    <xf numFmtId="3" fontId="36" fillId="0" borderId="0" applyFont="0" applyFill="0" applyBorder="0" applyAlignment="0" applyProtection="0"/>
    <xf numFmtId="0" fontId="36" fillId="26" borderId="0" applyNumberFormat="0" applyFont="0" applyBorder="0" applyAlignment="0" applyProtection="0"/>
    <xf numFmtId="0" fontId="30" fillId="27" borderId="0" applyNumberFormat="0" applyFont="0" applyBorder="0" applyAlignment="0">
      <alignment horizontal="center"/>
    </xf>
    <xf numFmtId="178" fontId="31" fillId="0" borderId="0" applyNumberFormat="0" applyFill="0" applyBorder="0" applyAlignment="0" applyProtection="0">
      <alignment horizontal="left"/>
    </xf>
    <xf numFmtId="0" fontId="30" fillId="1" borderId="4" applyNumberFormat="0" applyFont="0" applyAlignment="0">
      <alignment horizontal="center"/>
    </xf>
    <xf numFmtId="0" fontId="32" fillId="0" borderId="0" applyNumberFormat="0" applyFill="0" applyBorder="0" applyAlignment="0">
      <alignment horizontal="center"/>
    </xf>
    <xf numFmtId="40" fontId="33" fillId="0" borderId="0" applyBorder="0">
      <alignment horizontal="right"/>
    </xf>
    <xf numFmtId="0" fontId="34" fillId="0" borderId="0" applyNumberFormat="0" applyFill="0" applyBorder="0" applyAlignment="0" applyProtection="0"/>
    <xf numFmtId="0" fontId="5" fillId="0" borderId="11" applyNumberFormat="0" applyFont="0" applyFill="0" applyAlignment="0" applyProtection="0"/>
    <xf numFmtId="0" fontId="35" fillId="0" borderId="0" applyNumberFormat="0" applyFill="0" applyBorder="0" applyAlignment="0" applyProtection="0"/>
    <xf numFmtId="179" fontId="5" fillId="0" borderId="0"/>
    <xf numFmtId="179" fontId="59" fillId="18" borderId="7" applyNumberFormat="0" applyAlignment="0">
      <alignment horizontal="center" vertical="center"/>
    </xf>
    <xf numFmtId="179" fontId="60" fillId="22" borderId="7" applyNumberFormat="0" applyAlignment="0"/>
    <xf numFmtId="41" fontId="5" fillId="0" borderId="0" applyFont="0" applyFill="0" applyBorder="0" applyAlignment="0" applyProtection="0"/>
    <xf numFmtId="179" fontId="61" fillId="28" borderId="0" applyNumberFormat="0" applyAlignment="0"/>
    <xf numFmtId="2" fontId="62" fillId="22" borderId="7" applyNumberFormat="0" applyAlignment="0">
      <alignment horizontal="center"/>
    </xf>
    <xf numFmtId="2" fontId="63" fillId="22" borderId="7" applyNumberFormat="0" applyAlignment="0">
      <alignment horizontal="center"/>
    </xf>
    <xf numFmtId="179" fontId="64" fillId="29" borderId="51" applyNumberFormat="0" applyAlignment="0">
      <alignment horizontal="centerContinuous" vertical="center"/>
      <protection locked="0"/>
    </xf>
    <xf numFmtId="179" fontId="65" fillId="30" borderId="0" applyNumberFormat="0">
      <alignment horizontal="left" vertical="center"/>
    </xf>
    <xf numFmtId="179" fontId="66" fillId="22" borderId="7" applyNumberFormat="0" applyAlignment="0"/>
    <xf numFmtId="179" fontId="67" fillId="22" borderId="7" applyNumberFormat="0" applyAlignment="0"/>
    <xf numFmtId="179" fontId="68" fillId="31" borderId="0" applyNumberFormat="0">
      <alignment vertical="center"/>
    </xf>
    <xf numFmtId="179" fontId="69" fillId="32" borderId="7">
      <alignment horizontal="center"/>
    </xf>
    <xf numFmtId="179" fontId="4" fillId="0" borderId="0"/>
    <xf numFmtId="179" fontId="5" fillId="0" borderId="0"/>
    <xf numFmtId="179" fontId="65" fillId="33" borderId="0" applyNumberFormat="0">
      <alignment horizontal="left" vertical="center"/>
    </xf>
    <xf numFmtId="43" fontId="5" fillId="0" borderId="0" applyFont="0" applyFill="0" applyBorder="0" applyAlignment="0" applyProtection="0"/>
    <xf numFmtId="1" fontId="62" fillId="34" borderId="7" applyNumberFormat="0">
      <alignment horizontal="center" vertical="center"/>
      <protection locked="0"/>
    </xf>
    <xf numFmtId="1" fontId="63" fillId="34" borderId="7">
      <alignment horizontal="center" vertical="center"/>
      <protection locked="0"/>
    </xf>
    <xf numFmtId="43" fontId="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1" fillId="3" borderId="0" applyNumberFormat="0" applyBorder="0" applyAlignment="0" applyProtection="0"/>
    <xf numFmtId="175" fontId="5" fillId="0" borderId="0" applyFill="0" applyBorder="0" applyAlignment="0"/>
    <xf numFmtId="0" fontId="12" fillId="20" borderId="1" applyNumberFormat="0" applyAlignment="0" applyProtection="0"/>
    <xf numFmtId="0" fontId="13" fillId="21" borderId="2" applyNumberFormat="0" applyAlignment="0" applyProtection="0"/>
    <xf numFmtId="0" fontId="1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8" applyNumberFormat="0" applyFill="0" applyAlignment="0" applyProtection="0"/>
    <xf numFmtId="0" fontId="28" fillId="24" borderId="0" applyNumberFormat="0" applyBorder="0" applyAlignment="0" applyProtection="0"/>
    <xf numFmtId="177" fontId="5" fillId="0" borderId="0"/>
    <xf numFmtId="0" fontId="8" fillId="25" borderId="9" applyNumberFormat="0" applyFont="0" applyAlignment="0" applyProtection="0"/>
    <xf numFmtId="0" fontId="29" fillId="20" borderId="10" applyNumberFormat="0" applyAlignment="0" applyProtection="0"/>
    <xf numFmtId="10" fontId="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11" applyNumberFormat="0" applyFont="0" applyFill="0" applyAlignment="0" applyProtection="0"/>
    <xf numFmtId="0" fontId="35" fillId="0" borderId="0" applyNumberFormat="0" applyFill="0" applyBorder="0" applyAlignment="0" applyProtection="0"/>
    <xf numFmtId="0" fontId="5" fillId="0" borderId="0"/>
    <xf numFmtId="0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5" fillId="0" borderId="0"/>
    <xf numFmtId="0" fontId="5" fillId="0" borderId="0"/>
    <xf numFmtId="0" fontId="26" fillId="7" borderId="1" applyNumberFormat="0" applyAlignment="0" applyProtection="0"/>
    <xf numFmtId="2" fontId="5" fillId="0" borderId="0" applyFont="0" applyFill="0" applyBorder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11" applyNumberFormat="0" applyFon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9" fontId="2" fillId="0" borderId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9" fontId="59" fillId="18" borderId="7" applyNumberFormat="0" applyAlignment="0">
      <alignment horizontal="center" vertical="center"/>
    </xf>
    <xf numFmtId="179" fontId="83" fillId="22" borderId="7" applyNumberFormat="0" applyAlignment="0"/>
    <xf numFmtId="179" fontId="61" fillId="28" borderId="0" applyNumberFormat="0" applyAlignment="0"/>
    <xf numFmtId="179" fontId="64" fillId="29" borderId="51" applyNumberFormat="0" applyAlignment="0">
      <alignment horizontal="centerContinuous" vertical="center"/>
      <protection locked="0"/>
    </xf>
    <xf numFmtId="179" fontId="65" fillId="30" borderId="0" applyNumberFormat="0">
      <alignment horizontal="left" vertical="center"/>
    </xf>
    <xf numFmtId="179" fontId="67" fillId="22" borderId="7" applyNumberFormat="0" applyAlignment="0"/>
    <xf numFmtId="179" fontId="66" fillId="22" borderId="7" applyNumberFormat="0" applyAlignment="0"/>
    <xf numFmtId="179" fontId="68" fillId="31" borderId="0" applyNumberFormat="0">
      <alignment vertical="center"/>
    </xf>
    <xf numFmtId="179" fontId="84" fillId="0" borderId="0" applyNumberFormat="0" applyFill="0" applyBorder="0" applyAlignment="0" applyProtection="0"/>
    <xf numFmtId="179" fontId="69" fillId="32" borderId="7">
      <alignment horizontal="center"/>
    </xf>
    <xf numFmtId="179" fontId="1" fillId="0" borderId="0"/>
    <xf numFmtId="179" fontId="5" fillId="0" borderId="0"/>
    <xf numFmtId="179" fontId="65" fillId="33" borderId="0" applyNumberFormat="0">
      <alignment horizontal="left" vertical="center"/>
    </xf>
    <xf numFmtId="43" fontId="85" fillId="0" borderId="0" applyFont="0" applyFill="0" applyBorder="0" applyAlignment="0" applyProtection="0"/>
  </cellStyleXfs>
  <cellXfs count="662">
    <xf numFmtId="0" fontId="0" fillId="0" borderId="0" xfId="0"/>
    <xf numFmtId="0" fontId="38" fillId="0" borderId="0" xfId="67" applyFont="1"/>
    <xf numFmtId="0" fontId="39" fillId="0" borderId="0" xfId="67" applyFont="1"/>
    <xf numFmtId="0" fontId="39" fillId="0" borderId="0" xfId="67" applyFont="1" applyBorder="1"/>
    <xf numFmtId="0" fontId="38" fillId="0" borderId="0" xfId="67" applyFont="1" applyAlignment="1">
      <alignment horizontal="center" wrapText="1"/>
    </xf>
    <xf numFmtId="0" fontId="39" fillId="0" borderId="0" xfId="67" applyFont="1" applyAlignment="1">
      <alignment horizontal="center"/>
    </xf>
    <xf numFmtId="0" fontId="39" fillId="0" borderId="0" xfId="67" applyFont="1" applyFill="1" applyBorder="1"/>
    <xf numFmtId="3" fontId="39" fillId="0" borderId="0" xfId="67" applyNumberFormat="1" applyFont="1" applyAlignment="1">
      <alignment horizontal="center"/>
    </xf>
    <xf numFmtId="3" fontId="39" fillId="0" borderId="0" xfId="67" applyNumberFormat="1" applyFont="1" applyBorder="1" applyAlignment="1">
      <alignment horizontal="center"/>
    </xf>
    <xf numFmtId="0" fontId="39" fillId="0" borderId="6" xfId="67" applyFont="1" applyBorder="1"/>
    <xf numFmtId="0" fontId="39" fillId="0" borderId="6" xfId="67" applyFont="1" applyBorder="1" applyAlignment="1">
      <alignment horizontal="center"/>
    </xf>
    <xf numFmtId="0" fontId="39" fillId="0" borderId="0" xfId="67" applyFont="1" applyBorder="1" applyAlignment="1">
      <alignment horizontal="center"/>
    </xf>
    <xf numFmtId="0" fontId="38" fillId="0" borderId="25" xfId="67" applyFont="1" applyBorder="1" applyAlignment="1">
      <alignment horizontal="center" wrapText="1"/>
    </xf>
    <xf numFmtId="0" fontId="39" fillId="0" borderId="0" xfId="67" applyFont="1" applyFill="1"/>
    <xf numFmtId="166" fontId="39" fillId="0" borderId="0" xfId="67" applyNumberFormat="1" applyFont="1" applyAlignment="1">
      <alignment horizontal="center"/>
    </xf>
    <xf numFmtId="3" fontId="38" fillId="0" borderId="25" xfId="67" applyNumberFormat="1" applyFont="1" applyBorder="1" applyAlignment="1">
      <alignment horizontal="center" wrapText="1"/>
    </xf>
    <xf numFmtId="166" fontId="38" fillId="0" borderId="25" xfId="67" applyNumberFormat="1" applyFont="1" applyBorder="1" applyAlignment="1">
      <alignment horizontal="center" wrapText="1"/>
    </xf>
    <xf numFmtId="3" fontId="39" fillId="0" borderId="28" xfId="67" applyNumberFormat="1" applyFont="1" applyBorder="1" applyAlignment="1">
      <alignment horizontal="center"/>
    </xf>
    <xf numFmtId="3" fontId="39" fillId="0" borderId="29" xfId="67" applyNumberFormat="1" applyFont="1" applyBorder="1" applyAlignment="1">
      <alignment horizontal="center"/>
    </xf>
    <xf numFmtId="4" fontId="39" fillId="0" borderId="0" xfId="67" applyNumberFormat="1" applyFont="1" applyBorder="1" applyAlignment="1">
      <alignment horizontal="center"/>
    </xf>
    <xf numFmtId="0" fontId="43" fillId="0" borderId="31" xfId="67" applyFont="1" applyBorder="1" applyAlignment="1">
      <alignment horizontal="center" vertical="center" wrapText="1"/>
    </xf>
    <xf numFmtId="0" fontId="43" fillId="0" borderId="6" xfId="67" applyFont="1" applyBorder="1" applyAlignment="1">
      <alignment horizontal="center" vertical="center" wrapText="1"/>
    </xf>
    <xf numFmtId="0" fontId="44" fillId="0" borderId="0" xfId="67" applyFont="1" applyAlignment="1">
      <alignment horizontal="center" vertical="top" wrapText="1"/>
    </xf>
    <xf numFmtId="166" fontId="44" fillId="0" borderId="0" xfId="67" applyNumberFormat="1" applyFont="1" applyAlignment="1">
      <alignment horizontal="center" vertical="top" wrapText="1"/>
    </xf>
    <xf numFmtId="0" fontId="44" fillId="0" borderId="32" xfId="67" applyFont="1" applyBorder="1" applyAlignment="1">
      <alignment horizontal="center" vertical="top" wrapText="1"/>
    </xf>
    <xf numFmtId="166" fontId="44" fillId="0" borderId="32" xfId="67" applyNumberFormat="1" applyFont="1" applyBorder="1" applyAlignment="1">
      <alignment horizontal="center" vertical="top" wrapText="1"/>
    </xf>
    <xf numFmtId="2" fontId="44" fillId="0" borderId="0" xfId="67" applyNumberFormat="1" applyFont="1" applyAlignment="1">
      <alignment horizontal="center" vertical="top" wrapText="1"/>
    </xf>
    <xf numFmtId="171" fontId="44" fillId="0" borderId="0" xfId="67" applyNumberFormat="1" applyFont="1" applyAlignment="1">
      <alignment horizontal="center" vertical="top" wrapText="1"/>
    </xf>
    <xf numFmtId="0" fontId="43" fillId="0" borderId="31" xfId="67" applyFont="1" applyBorder="1" applyAlignment="1">
      <alignment horizontal="center" vertical="top" wrapText="1"/>
    </xf>
    <xf numFmtId="0" fontId="43" fillId="0" borderId="6" xfId="67" applyFont="1" applyBorder="1" applyAlignment="1">
      <alignment horizontal="center" vertical="top" wrapText="1"/>
    </xf>
    <xf numFmtId="2" fontId="46" fillId="0" borderId="0" xfId="67" applyNumberFormat="1" applyFont="1" applyAlignment="1">
      <alignment horizontal="center" vertical="top" wrapText="1"/>
    </xf>
    <xf numFmtId="166" fontId="46" fillId="0" borderId="0" xfId="67" applyNumberFormat="1" applyFont="1" applyAlignment="1">
      <alignment horizontal="center"/>
    </xf>
    <xf numFmtId="0" fontId="43" fillId="0" borderId="32" xfId="67" applyFont="1" applyBorder="1" applyAlignment="1">
      <alignment horizontal="center" vertical="top" wrapText="1"/>
    </xf>
    <xf numFmtId="164" fontId="44" fillId="0" borderId="0" xfId="67" applyNumberFormat="1" applyFont="1" applyAlignment="1">
      <alignment horizontal="center" vertical="top" wrapText="1"/>
    </xf>
    <xf numFmtId="166" fontId="43" fillId="0" borderId="32" xfId="67" applyNumberFormat="1" applyFont="1" applyBorder="1" applyAlignment="1">
      <alignment horizontal="center" vertical="top" wrapText="1"/>
    </xf>
    <xf numFmtId="166" fontId="43" fillId="0" borderId="32" xfId="67" applyNumberFormat="1" applyFont="1" applyFill="1" applyBorder="1" applyAlignment="1">
      <alignment horizontal="center" vertical="top" wrapText="1"/>
    </xf>
    <xf numFmtId="166" fontId="43" fillId="0" borderId="33" xfId="67" applyNumberFormat="1" applyFont="1" applyFill="1" applyBorder="1" applyAlignment="1">
      <alignment horizontal="center" vertical="top" wrapText="1"/>
    </xf>
    <xf numFmtId="0" fontId="44" fillId="0" borderId="20" xfId="67" applyFont="1" applyBorder="1" applyAlignment="1">
      <alignment horizontal="center" vertical="top" wrapText="1"/>
    </xf>
    <xf numFmtId="2" fontId="44" fillId="0" borderId="20" xfId="67" applyNumberFormat="1" applyFont="1" applyFill="1" applyBorder="1" applyAlignment="1">
      <alignment horizontal="center" vertical="top" wrapText="1"/>
    </xf>
    <xf numFmtId="0" fontId="44" fillId="0" borderId="0" xfId="67" applyFont="1" applyBorder="1" applyAlignment="1">
      <alignment horizontal="center" vertical="top" wrapText="1"/>
    </xf>
    <xf numFmtId="2" fontId="44" fillId="0" borderId="0" xfId="67" applyNumberFormat="1" applyFont="1" applyFill="1" applyBorder="1" applyAlignment="1">
      <alignment horizontal="center" vertical="top" wrapText="1"/>
    </xf>
    <xf numFmtId="0" fontId="44" fillId="0" borderId="6" xfId="67" applyFont="1" applyBorder="1" applyAlignment="1">
      <alignment horizontal="center" vertical="top" wrapText="1"/>
    </xf>
    <xf numFmtId="0" fontId="46" fillId="0" borderId="0" xfId="0" applyFont="1"/>
    <xf numFmtId="0" fontId="49" fillId="0" borderId="0" xfId="67" applyFont="1"/>
    <xf numFmtId="0" fontId="46" fillId="0" borderId="0" xfId="67" applyFont="1"/>
    <xf numFmtId="0" fontId="46" fillId="0" borderId="0" xfId="67" applyFont="1" applyAlignment="1">
      <alignment horizontal="center"/>
    </xf>
    <xf numFmtId="3" fontId="46" fillId="0" borderId="0" xfId="67" applyNumberFormat="1" applyFont="1" applyAlignment="1">
      <alignment horizontal="center"/>
    </xf>
    <xf numFmtId="0" fontId="49" fillId="0" borderId="0" xfId="0" applyFont="1"/>
    <xf numFmtId="0" fontId="46" fillId="0" borderId="0" xfId="0" applyFont="1" applyAlignment="1">
      <alignment horizontal="center"/>
    </xf>
    <xf numFmtId="0" fontId="51" fillId="0" borderId="0" xfId="0" applyFont="1" applyFill="1" applyBorder="1"/>
    <xf numFmtId="0" fontId="46" fillId="0" borderId="0" xfId="0" applyFont="1" applyBorder="1"/>
    <xf numFmtId="3" fontId="46" fillId="0" borderId="0" xfId="0" applyNumberFormat="1" applyFont="1" applyBorder="1" applyAlignment="1">
      <alignment horizontal="center"/>
    </xf>
    <xf numFmtId="0" fontId="46" fillId="0" borderId="0" xfId="0" applyFont="1" applyFill="1" applyBorder="1"/>
    <xf numFmtId="11" fontId="46" fillId="0" borderId="0" xfId="0" applyNumberFormat="1" applyFont="1" applyFill="1" applyBorder="1" applyAlignment="1">
      <alignment horizontal="center"/>
    </xf>
    <xf numFmtId="0" fontId="51" fillId="0" borderId="0" xfId="0" applyFont="1" applyBorder="1"/>
    <xf numFmtId="11" fontId="46" fillId="0" borderId="17" xfId="0" applyNumberFormat="1" applyFont="1" applyFill="1" applyBorder="1" applyAlignment="1">
      <alignment horizontal="center"/>
    </xf>
    <xf numFmtId="2" fontId="46" fillId="0" borderId="15" xfId="0" applyNumberFormat="1" applyFont="1" applyFill="1" applyBorder="1" applyAlignment="1">
      <alignment horizontal="center"/>
    </xf>
    <xf numFmtId="172" fontId="46" fillId="0" borderId="17" xfId="0" applyNumberFormat="1" applyFont="1" applyFill="1" applyBorder="1" applyAlignment="1">
      <alignment horizontal="center"/>
    </xf>
    <xf numFmtId="11" fontId="46" fillId="0" borderId="15" xfId="0" applyNumberFormat="1" applyFont="1" applyBorder="1" applyAlignment="1">
      <alignment horizontal="center"/>
    </xf>
    <xf numFmtId="11" fontId="46" fillId="0" borderId="15" xfId="0" applyNumberFormat="1" applyFont="1" applyFill="1" applyBorder="1" applyAlignment="1">
      <alignment horizontal="center"/>
    </xf>
    <xf numFmtId="1" fontId="46" fillId="0" borderId="15" xfId="0" applyNumberFormat="1" applyFont="1" applyFill="1" applyBorder="1" applyAlignment="1">
      <alignment horizontal="center"/>
    </xf>
    <xf numFmtId="0" fontId="46" fillId="0" borderId="34" xfId="0" applyFont="1" applyBorder="1" applyAlignment="1">
      <alignment horizontal="center"/>
    </xf>
    <xf numFmtId="2" fontId="46" fillId="0" borderId="15" xfId="0" quotePrefix="1" applyNumberFormat="1" applyFont="1" applyFill="1" applyBorder="1" applyAlignment="1">
      <alignment horizontal="center"/>
    </xf>
    <xf numFmtId="3" fontId="46" fillId="0" borderId="15" xfId="0" applyNumberFormat="1" applyFont="1" applyFill="1" applyBorder="1" applyAlignment="1">
      <alignment horizontal="center"/>
    </xf>
    <xf numFmtId="3" fontId="46" fillId="0" borderId="17" xfId="0" applyNumberFormat="1" applyFont="1" applyFill="1" applyBorder="1" applyAlignment="1">
      <alignment horizontal="center"/>
    </xf>
    <xf numFmtId="0" fontId="46" fillId="0" borderId="35" xfId="0" applyFont="1" applyBorder="1" applyAlignment="1">
      <alignment horizontal="center"/>
    </xf>
    <xf numFmtId="11" fontId="46" fillId="0" borderId="18" xfId="0" quotePrefix="1" applyNumberFormat="1" applyFont="1" applyFill="1" applyBorder="1" applyAlignment="1">
      <alignment horizontal="center"/>
    </xf>
    <xf numFmtId="3" fontId="46" fillId="0" borderId="18" xfId="0" applyNumberFormat="1" applyFont="1" applyFill="1" applyBorder="1" applyAlignment="1">
      <alignment horizontal="center"/>
    </xf>
    <xf numFmtId="3" fontId="46" fillId="0" borderId="22" xfId="0" applyNumberFormat="1" applyFont="1" applyFill="1" applyBorder="1" applyAlignment="1">
      <alignment horizontal="center"/>
    </xf>
    <xf numFmtId="0" fontId="49" fillId="0" borderId="37" xfId="0" applyFont="1" applyBorder="1" applyAlignment="1">
      <alignment horizontal="center" wrapText="1"/>
    </xf>
    <xf numFmtId="3" fontId="49" fillId="0" borderId="38" xfId="0" applyNumberFormat="1" applyFont="1" applyBorder="1" applyAlignment="1">
      <alignment horizontal="center" wrapText="1"/>
    </xf>
    <xf numFmtId="2" fontId="46" fillId="0" borderId="17" xfId="0" applyNumberFormat="1" applyFont="1" applyBorder="1" applyAlignment="1">
      <alignment horizontal="center"/>
    </xf>
    <xf numFmtId="11" fontId="46" fillId="0" borderId="17" xfId="0" applyNumberFormat="1" applyFont="1" applyBorder="1" applyAlignment="1">
      <alignment horizontal="center"/>
    </xf>
    <xf numFmtId="1" fontId="46" fillId="0" borderId="17" xfId="0" applyNumberFormat="1" applyFont="1" applyBorder="1" applyAlignment="1">
      <alignment horizontal="center"/>
    </xf>
    <xf numFmtId="1" fontId="46" fillId="0" borderId="22" xfId="0" applyNumberFormat="1" applyFont="1" applyBorder="1" applyAlignment="1">
      <alignment horizontal="center"/>
    </xf>
    <xf numFmtId="2" fontId="46" fillId="0" borderId="42" xfId="0" applyNumberFormat="1" applyFont="1" applyFill="1" applyBorder="1" applyAlignment="1">
      <alignment horizontal="center"/>
    </xf>
    <xf numFmtId="0" fontId="49" fillId="0" borderId="36" xfId="0" applyFont="1" applyBorder="1" applyAlignment="1">
      <alignment horizontal="center" wrapText="1"/>
    </xf>
    <xf numFmtId="0" fontId="46" fillId="0" borderId="43" xfId="0" applyFont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34" xfId="0" applyFont="1" applyFill="1" applyBorder="1" applyAlignment="1">
      <alignment horizontal="center"/>
    </xf>
    <xf numFmtId="11" fontId="44" fillId="0" borderId="0" xfId="67" applyNumberFormat="1" applyFont="1" applyFill="1" applyBorder="1" applyAlignment="1">
      <alignment horizontal="center" vertical="top" wrapText="1"/>
    </xf>
    <xf numFmtId="11" fontId="44" fillId="0" borderId="6" xfId="67" applyNumberFormat="1" applyFont="1" applyFill="1" applyBorder="1" applyAlignment="1">
      <alignment horizontal="center" vertical="top" wrapText="1"/>
    </xf>
    <xf numFmtId="2" fontId="46" fillId="0" borderId="20" xfId="67" applyNumberFormat="1" applyFont="1" applyBorder="1" applyAlignment="1">
      <alignment horizontal="center" vertical="top" wrapText="1"/>
    </xf>
    <xf numFmtId="2" fontId="46" fillId="0" borderId="0" xfId="67" applyNumberFormat="1" applyFont="1" applyBorder="1" applyAlignment="1">
      <alignment horizontal="center" vertical="top" wrapText="1"/>
    </xf>
    <xf numFmtId="2" fontId="46" fillId="0" borderId="0" xfId="67" quotePrefix="1" applyNumberFormat="1" applyFont="1" applyBorder="1" applyAlignment="1">
      <alignment horizontal="center" vertical="top" wrapText="1"/>
    </xf>
    <xf numFmtId="11" fontId="46" fillId="0" borderId="0" xfId="67" applyNumberFormat="1" applyFont="1" applyBorder="1" applyAlignment="1">
      <alignment horizontal="center" vertical="top" wrapText="1"/>
    </xf>
    <xf numFmtId="2" fontId="43" fillId="0" borderId="32" xfId="67" applyNumberFormat="1" applyFont="1" applyBorder="1" applyAlignment="1">
      <alignment horizontal="center" vertical="top" wrapText="1"/>
    </xf>
    <xf numFmtId="2" fontId="39" fillId="0" borderId="28" xfId="67" applyNumberFormat="1" applyFont="1" applyFill="1" applyBorder="1" applyAlignment="1">
      <alignment horizontal="center"/>
    </xf>
    <xf numFmtId="0" fontId="39" fillId="0" borderId="4" xfId="67" applyFont="1" applyBorder="1" applyAlignment="1"/>
    <xf numFmtId="0" fontId="44" fillId="0" borderId="0" xfId="67" applyFont="1" applyAlignment="1">
      <alignment horizontal="center" vertical="center" wrapText="1"/>
    </xf>
    <xf numFmtId="2" fontId="44" fillId="0" borderId="0" xfId="67" applyNumberFormat="1" applyFont="1" applyAlignment="1">
      <alignment horizontal="center" vertical="center" wrapText="1"/>
    </xf>
    <xf numFmtId="0" fontId="43" fillId="0" borderId="32" xfId="67" applyFont="1" applyBorder="1" applyAlignment="1">
      <alignment horizontal="center" vertical="center" wrapText="1"/>
    </xf>
    <xf numFmtId="3" fontId="46" fillId="0" borderId="17" xfId="0" applyNumberFormat="1" applyFont="1" applyBorder="1" applyAlignment="1">
      <alignment horizontal="center"/>
    </xf>
    <xf numFmtId="4" fontId="46" fillId="0" borderId="17" xfId="0" applyNumberFormat="1" applyFont="1" applyFill="1" applyBorder="1" applyAlignment="1">
      <alignment horizontal="center"/>
    </xf>
    <xf numFmtId="4" fontId="46" fillId="0" borderId="21" xfId="0" applyNumberFormat="1" applyFont="1" applyFill="1" applyBorder="1" applyAlignment="1">
      <alignment horizontal="center"/>
    </xf>
    <xf numFmtId="0" fontId="41" fillId="0" borderId="0" xfId="67" quotePrefix="1" applyFont="1" applyFill="1"/>
    <xf numFmtId="0" fontId="46" fillId="0" borderId="45" xfId="0" applyFont="1" applyBorder="1" applyAlignment="1">
      <alignment horizontal="center"/>
    </xf>
    <xf numFmtId="3" fontId="49" fillId="0" borderId="36" xfId="0" applyNumberFormat="1" applyFont="1" applyBorder="1" applyAlignment="1">
      <alignment horizontal="center" vertical="center" wrapText="1"/>
    </xf>
    <xf numFmtId="0" fontId="49" fillId="0" borderId="37" xfId="0" applyFont="1" applyBorder="1" applyAlignment="1">
      <alignment horizontal="center" vertical="center" wrapText="1"/>
    </xf>
    <xf numFmtId="3" fontId="49" fillId="0" borderId="38" xfId="0" applyNumberFormat="1" applyFont="1" applyBorder="1" applyAlignment="1">
      <alignment horizontal="center" vertical="center" wrapText="1"/>
    </xf>
    <xf numFmtId="3" fontId="46" fillId="0" borderId="39" xfId="0" applyNumberFormat="1" applyFont="1" applyBorder="1" applyAlignment="1">
      <alignment horizontal="center" vertical="center"/>
    </xf>
    <xf numFmtId="171" fontId="46" fillId="0" borderId="40" xfId="0" applyNumberFormat="1" applyFont="1" applyBorder="1" applyAlignment="1">
      <alignment horizontal="center" vertical="center"/>
    </xf>
    <xf numFmtId="11" fontId="46" fillId="0" borderId="40" xfId="0" applyNumberFormat="1" applyFont="1" applyBorder="1" applyAlignment="1">
      <alignment horizontal="center" vertical="center"/>
    </xf>
    <xf numFmtId="11" fontId="46" fillId="0" borderId="41" xfId="0" applyNumberFormat="1" applyFont="1" applyFill="1" applyBorder="1" applyAlignment="1">
      <alignment horizontal="center" vertical="center"/>
    </xf>
    <xf numFmtId="3" fontId="46" fillId="0" borderId="34" xfId="0" applyNumberFormat="1" applyFont="1" applyBorder="1" applyAlignment="1">
      <alignment horizontal="center" vertical="center"/>
    </xf>
    <xf numFmtId="171" fontId="46" fillId="0" borderId="15" xfId="0" applyNumberFormat="1" applyFont="1" applyBorder="1" applyAlignment="1">
      <alignment horizontal="center" vertical="center"/>
    </xf>
    <xf numFmtId="11" fontId="46" fillId="0" borderId="15" xfId="0" applyNumberFormat="1" applyFont="1" applyBorder="1" applyAlignment="1">
      <alignment horizontal="center" vertical="center"/>
    </xf>
    <xf numFmtId="11" fontId="46" fillId="0" borderId="17" xfId="0" applyNumberFormat="1" applyFont="1" applyFill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2" fontId="46" fillId="0" borderId="34" xfId="0" applyNumberFormat="1" applyFont="1" applyBorder="1" applyAlignment="1">
      <alignment horizontal="center" vertical="center"/>
    </xf>
    <xf numFmtId="2" fontId="46" fillId="0" borderId="35" xfId="0" applyNumberFormat="1" applyFont="1" applyBorder="1" applyAlignment="1">
      <alignment horizontal="center" vertical="center"/>
    </xf>
    <xf numFmtId="171" fontId="46" fillId="0" borderId="18" xfId="0" applyNumberFormat="1" applyFont="1" applyBorder="1" applyAlignment="1">
      <alignment horizontal="center" vertical="center"/>
    </xf>
    <xf numFmtId="11" fontId="46" fillId="0" borderId="18" xfId="0" applyNumberFormat="1" applyFont="1" applyBorder="1" applyAlignment="1">
      <alignment horizontal="center" vertical="center"/>
    </xf>
    <xf numFmtId="11" fontId="46" fillId="0" borderId="22" xfId="0" applyNumberFormat="1" applyFont="1" applyFill="1" applyBorder="1" applyAlignment="1">
      <alignment horizontal="center" vertical="center"/>
    </xf>
    <xf numFmtId="0" fontId="50" fillId="0" borderId="0" xfId="67" applyFont="1"/>
    <xf numFmtId="0" fontId="46" fillId="0" borderId="0" xfId="67" applyFont="1" applyFill="1"/>
    <xf numFmtId="0" fontId="43" fillId="0" borderId="0" xfId="67" applyFont="1" applyBorder="1" applyAlignment="1">
      <alignment horizontal="center" vertical="top" wrapText="1"/>
    </xf>
    <xf numFmtId="166" fontId="43" fillId="0" borderId="0" xfId="67" applyNumberFormat="1" applyFont="1" applyFill="1" applyBorder="1" applyAlignment="1">
      <alignment horizontal="center" vertical="top" wrapText="1"/>
    </xf>
    <xf numFmtId="166" fontId="43" fillId="0" borderId="0" xfId="67" applyNumberFormat="1" applyFont="1" applyBorder="1" applyAlignment="1">
      <alignment horizontal="center" vertical="top" wrapText="1"/>
    </xf>
    <xf numFmtId="2" fontId="43" fillId="0" borderId="0" xfId="67" applyNumberFormat="1" applyFont="1" applyBorder="1" applyAlignment="1">
      <alignment horizontal="center" vertical="top" wrapText="1"/>
    </xf>
    <xf numFmtId="0" fontId="49" fillId="0" borderId="20" xfId="67" applyFont="1" applyBorder="1" applyAlignment="1">
      <alignment horizontal="center" vertical="center"/>
    </xf>
    <xf numFmtId="0" fontId="49" fillId="0" borderId="6" xfId="67" applyFont="1" applyBorder="1" applyAlignment="1">
      <alignment horizontal="center" vertical="center"/>
    </xf>
    <xf numFmtId="3" fontId="46" fillId="0" borderId="0" xfId="67" applyNumberFormat="1" applyFont="1" applyBorder="1" applyAlignment="1">
      <alignment horizontal="center" vertical="center"/>
    </xf>
    <xf numFmtId="0" fontId="46" fillId="0" borderId="20" xfId="67" applyFont="1" applyBorder="1" applyAlignment="1">
      <alignment horizontal="center" vertical="center"/>
    </xf>
    <xf numFmtId="3" fontId="46" fillId="0" borderId="20" xfId="67" applyNumberFormat="1" applyFont="1" applyBorder="1" applyAlignment="1">
      <alignment horizontal="center" vertical="center"/>
    </xf>
    <xf numFmtId="0" fontId="46" fillId="0" borderId="0" xfId="67" applyFont="1" applyBorder="1" applyAlignment="1">
      <alignment horizontal="center" vertical="center"/>
    </xf>
    <xf numFmtId="171" fontId="46" fillId="0" borderId="0" xfId="67" applyNumberFormat="1" applyFont="1" applyBorder="1" applyAlignment="1">
      <alignment horizontal="center" vertical="center"/>
    </xf>
    <xf numFmtId="0" fontId="49" fillId="0" borderId="12" xfId="67" applyFont="1" applyBorder="1" applyAlignment="1">
      <alignment horizontal="center"/>
    </xf>
    <xf numFmtId="0" fontId="49" fillId="0" borderId="44" xfId="67" applyFont="1" applyBorder="1" applyAlignment="1">
      <alignment horizontal="center"/>
    </xf>
    <xf numFmtId="0" fontId="46" fillId="0" borderId="0" xfId="0" applyFont="1" applyFill="1" applyBorder="1" applyAlignment="1">
      <alignment vertical="top" wrapText="1"/>
    </xf>
    <xf numFmtId="0" fontId="53" fillId="0" borderId="0" xfId="0" applyFont="1"/>
    <xf numFmtId="0" fontId="46" fillId="0" borderId="0" xfId="0" applyFont="1" applyFill="1" applyBorder="1" applyAlignment="1">
      <alignment vertical="center" wrapText="1"/>
    </xf>
    <xf numFmtId="0" fontId="51" fillId="0" borderId="0" xfId="0" quotePrefix="1" applyFont="1" applyAlignment="1">
      <alignment vertical="center" wrapText="1"/>
    </xf>
    <xf numFmtId="0" fontId="56" fillId="0" borderId="0" xfId="0" applyFont="1"/>
    <xf numFmtId="179" fontId="38" fillId="0" borderId="0" xfId="93" applyFont="1"/>
    <xf numFmtId="179" fontId="46" fillId="0" borderId="0" xfId="93" applyFont="1"/>
    <xf numFmtId="179" fontId="55" fillId="0" borderId="0" xfId="93" applyFont="1"/>
    <xf numFmtId="3" fontId="46" fillId="0" borderId="15" xfId="93" applyNumberFormat="1" applyFont="1" applyBorder="1" applyAlignment="1">
      <alignment horizontal="center" vertical="center"/>
    </xf>
    <xf numFmtId="179" fontId="46" fillId="0" borderId="39" xfId="93" applyFont="1" applyBorder="1" applyAlignment="1">
      <alignment horizontal="center" vertical="center"/>
    </xf>
    <xf numFmtId="1" fontId="46" fillId="0" borderId="41" xfId="93" applyNumberFormat="1" applyFont="1" applyBorder="1" applyAlignment="1">
      <alignment horizontal="center" vertical="center"/>
    </xf>
    <xf numFmtId="179" fontId="46" fillId="0" borderId="34" xfId="93" applyFont="1" applyBorder="1" applyAlignment="1">
      <alignment horizontal="center" vertical="center"/>
    </xf>
    <xf numFmtId="3" fontId="46" fillId="0" borderId="17" xfId="93" applyNumberFormat="1" applyFont="1" applyBorder="1" applyAlignment="1">
      <alignment horizontal="center" vertical="center"/>
    </xf>
    <xf numFmtId="2" fontId="46" fillId="0" borderId="17" xfId="93" applyNumberFormat="1" applyFont="1" applyBorder="1" applyAlignment="1">
      <alignment horizontal="center" vertical="center"/>
    </xf>
    <xf numFmtId="9" fontId="46" fillId="0" borderId="17" xfId="74" applyFont="1" applyBorder="1" applyAlignment="1">
      <alignment horizontal="center" vertical="center"/>
    </xf>
    <xf numFmtId="167" fontId="46" fillId="0" borderId="17" xfId="93" applyNumberFormat="1" applyFont="1" applyBorder="1" applyAlignment="1">
      <alignment horizontal="center" vertical="center"/>
    </xf>
    <xf numFmtId="1" fontId="46" fillId="0" borderId="17" xfId="93" applyNumberFormat="1" applyFont="1" applyBorder="1" applyAlignment="1">
      <alignment horizontal="center" vertical="center"/>
    </xf>
    <xf numFmtId="179" fontId="46" fillId="0" borderId="34" xfId="93" applyFont="1" applyBorder="1" applyAlignment="1">
      <alignment horizontal="center" vertical="center" wrapText="1"/>
    </xf>
    <xf numFmtId="3" fontId="46" fillId="0" borderId="17" xfId="93" applyNumberFormat="1" applyFont="1" applyFill="1" applyBorder="1" applyAlignment="1">
      <alignment horizontal="center" vertical="center"/>
    </xf>
    <xf numFmtId="179" fontId="46" fillId="0" borderId="35" xfId="93" applyFont="1" applyBorder="1" applyAlignment="1">
      <alignment horizontal="center" vertical="center"/>
    </xf>
    <xf numFmtId="179" fontId="49" fillId="0" borderId="18" xfId="93" applyFont="1" applyFill="1" applyBorder="1" applyAlignment="1">
      <alignment horizontal="center" vertical="center"/>
    </xf>
    <xf numFmtId="179" fontId="46" fillId="0" borderId="0" xfId="93" applyFont="1" applyFill="1" applyBorder="1" applyAlignment="1">
      <alignment horizontal="left"/>
    </xf>
    <xf numFmtId="9" fontId="46" fillId="0" borderId="17" xfId="74" applyFont="1" applyBorder="1" applyAlignment="1">
      <alignment horizontal="center"/>
    </xf>
    <xf numFmtId="179" fontId="55" fillId="0" borderId="0" xfId="93" applyFont="1" applyAlignment="1">
      <alignment vertical="center"/>
    </xf>
    <xf numFmtId="164" fontId="55" fillId="0" borderId="0" xfId="93" applyNumberFormat="1" applyFont="1" applyAlignment="1">
      <alignment vertical="center"/>
    </xf>
    <xf numFmtId="166" fontId="46" fillId="0" borderId="40" xfId="93" applyNumberFormat="1" applyFont="1" applyBorder="1" applyAlignment="1">
      <alignment horizontal="center" vertical="center"/>
    </xf>
    <xf numFmtId="166" fontId="46" fillId="0" borderId="15" xfId="93" applyNumberFormat="1" applyFont="1" applyBorder="1" applyAlignment="1">
      <alignment horizontal="center" vertical="center"/>
    </xf>
    <xf numFmtId="179" fontId="46" fillId="0" borderId="34" xfId="93" applyFont="1" applyFill="1" applyBorder="1" applyAlignment="1">
      <alignment horizontal="center" vertical="center"/>
    </xf>
    <xf numFmtId="164" fontId="46" fillId="0" borderId="15" xfId="93" applyNumberFormat="1" applyFont="1" applyFill="1" applyBorder="1" applyAlignment="1">
      <alignment horizontal="center" vertical="center"/>
    </xf>
    <xf numFmtId="179" fontId="46" fillId="0" borderId="0" xfId="93" applyFont="1" applyAlignment="1">
      <alignment vertical="center"/>
    </xf>
    <xf numFmtId="3" fontId="46" fillId="0" borderId="18" xfId="93" applyNumberFormat="1" applyFont="1" applyBorder="1" applyAlignment="1">
      <alignment horizontal="center" vertical="center"/>
    </xf>
    <xf numFmtId="179" fontId="46" fillId="0" borderId="0" xfId="93" applyFont="1" applyFill="1" applyBorder="1" applyAlignment="1">
      <alignment wrapText="1"/>
    </xf>
    <xf numFmtId="0" fontId="51" fillId="0" borderId="0" xfId="0" quotePrefix="1" applyFont="1" applyAlignment="1">
      <alignment vertical="center"/>
    </xf>
    <xf numFmtId="0" fontId="46" fillId="0" borderId="0" xfId="0" applyFont="1" applyFill="1"/>
    <xf numFmtId="0" fontId="46" fillId="0" borderId="45" xfId="67" applyFont="1" applyBorder="1" applyAlignment="1">
      <alignment horizontal="center"/>
    </xf>
    <xf numFmtId="0" fontId="46" fillId="0" borderId="34" xfId="67" applyFont="1" applyBorder="1" applyAlignment="1">
      <alignment horizontal="center"/>
    </xf>
    <xf numFmtId="11" fontId="46" fillId="0" borderId="0" xfId="67" applyNumberFormat="1" applyFont="1"/>
    <xf numFmtId="0" fontId="46" fillId="0" borderId="0" xfId="67" applyFont="1" applyBorder="1" applyAlignment="1"/>
    <xf numFmtId="0" fontId="49" fillId="0" borderId="6" xfId="67" applyFont="1" applyBorder="1"/>
    <xf numFmtId="165" fontId="46" fillId="0" borderId="0" xfId="67" applyNumberFormat="1" applyFont="1" applyFill="1" applyBorder="1" applyAlignment="1">
      <alignment horizontal="center"/>
    </xf>
    <xf numFmtId="0" fontId="49" fillId="0" borderId="0" xfId="67" applyFont="1" applyAlignment="1">
      <alignment horizontal="center" wrapText="1"/>
    </xf>
    <xf numFmtId="168" fontId="46" fillId="0" borderId="0" xfId="67" applyNumberFormat="1" applyFont="1" applyAlignment="1">
      <alignment horizontal="center"/>
    </xf>
    <xf numFmtId="0" fontId="46" fillId="0" borderId="48" xfId="67" applyFont="1" applyBorder="1" applyAlignment="1">
      <alignment horizontal="center"/>
    </xf>
    <xf numFmtId="4" fontId="46" fillId="0" borderId="17" xfId="67" applyNumberFormat="1" applyFont="1" applyBorder="1" applyAlignment="1">
      <alignment horizontal="center"/>
    </xf>
    <xf numFmtId="167" fontId="46" fillId="0" borderId="0" xfId="67" applyNumberFormat="1" applyFont="1" applyAlignment="1">
      <alignment horizontal="center"/>
    </xf>
    <xf numFmtId="2" fontId="46" fillId="0" borderId="16" xfId="67" applyNumberFormat="1" applyFont="1" applyFill="1" applyBorder="1" applyAlignment="1">
      <alignment horizontal="center"/>
    </xf>
    <xf numFmtId="164" fontId="46" fillId="0" borderId="0" xfId="67" applyNumberFormat="1" applyFont="1" applyAlignment="1">
      <alignment horizontal="center"/>
    </xf>
    <xf numFmtId="2" fontId="46" fillId="0" borderId="16" xfId="67" quotePrefix="1" applyNumberFormat="1" applyFont="1" applyBorder="1" applyAlignment="1">
      <alignment horizontal="center"/>
    </xf>
    <xf numFmtId="172" fontId="46" fillId="0" borderId="17" xfId="67" applyNumberFormat="1" applyFont="1" applyFill="1" applyBorder="1" applyAlignment="1">
      <alignment horizontal="center"/>
    </xf>
    <xf numFmtId="165" fontId="46" fillId="0" borderId="0" xfId="67" applyNumberFormat="1" applyFont="1" applyAlignment="1">
      <alignment horizontal="center"/>
    </xf>
    <xf numFmtId="2" fontId="46" fillId="0" borderId="16" xfId="67" applyNumberFormat="1" applyFont="1" applyBorder="1" applyAlignment="1">
      <alignment horizontal="center"/>
    </xf>
    <xf numFmtId="4" fontId="46" fillId="0" borderId="17" xfId="67" applyNumberFormat="1" applyFont="1" applyFill="1" applyBorder="1" applyAlignment="1">
      <alignment horizontal="center"/>
    </xf>
    <xf numFmtId="0" fontId="46" fillId="0" borderId="0" xfId="67" quotePrefix="1" applyFont="1" applyBorder="1" applyAlignment="1">
      <alignment horizontal="center"/>
    </xf>
    <xf numFmtId="2" fontId="46" fillId="0" borderId="0" xfId="67" applyNumberFormat="1" applyFont="1" applyBorder="1" applyAlignment="1">
      <alignment horizontal="center"/>
    </xf>
    <xf numFmtId="170" fontId="46" fillId="0" borderId="0" xfId="67" applyNumberFormat="1" applyFont="1" applyFill="1" applyBorder="1" applyAlignment="1">
      <alignment horizontal="center"/>
    </xf>
    <xf numFmtId="0" fontId="51" fillId="0" borderId="0" xfId="67" applyFont="1" applyFill="1" applyBorder="1"/>
    <xf numFmtId="0" fontId="46" fillId="0" borderId="6" xfId="67" quotePrefix="1" applyFont="1" applyBorder="1" applyAlignment="1">
      <alignment horizontal="center"/>
    </xf>
    <xf numFmtId="2" fontId="46" fillId="0" borderId="6" xfId="67" applyNumberFormat="1" applyFont="1" applyBorder="1" applyAlignment="1">
      <alignment horizontal="center"/>
    </xf>
    <xf numFmtId="170" fontId="46" fillId="0" borderId="6" xfId="67" applyNumberFormat="1" applyFont="1" applyFill="1" applyBorder="1" applyAlignment="1">
      <alignment horizontal="center"/>
    </xf>
    <xf numFmtId="0" fontId="46" fillId="0" borderId="50" xfId="67" applyFont="1" applyBorder="1" applyAlignment="1">
      <alignment horizontal="center"/>
    </xf>
    <xf numFmtId="11" fontId="46" fillId="0" borderId="42" xfId="67" applyNumberFormat="1" applyFont="1" applyBorder="1" applyAlignment="1">
      <alignment horizontal="center"/>
    </xf>
    <xf numFmtId="11" fontId="46" fillId="0" borderId="21" xfId="67" applyNumberFormat="1" applyFont="1" applyBorder="1" applyAlignment="1">
      <alignment horizontal="center"/>
    </xf>
    <xf numFmtId="11" fontId="46" fillId="0" borderId="15" xfId="67" applyNumberFormat="1" applyFont="1" applyBorder="1" applyAlignment="1">
      <alignment horizontal="center"/>
    </xf>
    <xf numFmtId="11" fontId="46" fillId="0" borderId="17" xfId="67" applyNumberFormat="1" applyFont="1" applyBorder="1" applyAlignment="1">
      <alignment horizontal="center"/>
    </xf>
    <xf numFmtId="0" fontId="46" fillId="0" borderId="49" xfId="67" applyFont="1" applyBorder="1" applyAlignment="1">
      <alignment horizontal="center"/>
    </xf>
    <xf numFmtId="11" fontId="46" fillId="0" borderId="18" xfId="67" applyNumberFormat="1" applyFont="1" applyBorder="1" applyAlignment="1">
      <alignment horizontal="center"/>
    </xf>
    <xf numFmtId="11" fontId="46" fillId="0" borderId="22" xfId="67" applyNumberFormat="1" applyFont="1" applyBorder="1" applyAlignment="1">
      <alignment horizontal="center"/>
    </xf>
    <xf numFmtId="0" fontId="53" fillId="0" borderId="0" xfId="67" applyFont="1"/>
    <xf numFmtId="11" fontId="53" fillId="0" borderId="0" xfId="67" applyNumberFormat="1" applyFont="1"/>
    <xf numFmtId="0" fontId="46" fillId="0" borderId="0" xfId="67" applyFont="1" applyBorder="1"/>
    <xf numFmtId="0" fontId="49" fillId="0" borderId="0" xfId="67" applyFont="1" applyFill="1" applyBorder="1"/>
    <xf numFmtId="0" fontId="46" fillId="0" borderId="0" xfId="67" applyFont="1" applyFill="1" applyAlignment="1">
      <alignment horizontal="center"/>
    </xf>
    <xf numFmtId="2" fontId="46" fillId="0" borderId="0" xfId="67" applyNumberFormat="1" applyFont="1"/>
    <xf numFmtId="171" fontId="46" fillId="0" borderId="17" xfId="67" applyNumberFormat="1" applyFont="1" applyBorder="1" applyAlignment="1">
      <alignment horizontal="center"/>
    </xf>
    <xf numFmtId="164" fontId="46" fillId="0" borderId="17" xfId="67" applyNumberFormat="1" applyFont="1" applyBorder="1" applyAlignment="1">
      <alignment horizontal="center"/>
    </xf>
    <xf numFmtId="11" fontId="46" fillId="0" borderId="15" xfId="67" applyNumberFormat="1" applyFont="1" applyFill="1" applyBorder="1" applyAlignment="1">
      <alignment horizontal="center"/>
    </xf>
    <xf numFmtId="11" fontId="46" fillId="0" borderId="19" xfId="67" applyNumberFormat="1" applyFont="1" applyBorder="1" applyAlignment="1">
      <alignment horizontal="center"/>
    </xf>
    <xf numFmtId="0" fontId="51" fillId="0" borderId="0" xfId="0" applyFont="1" applyFill="1" applyBorder="1" applyAlignment="1">
      <alignment horizontal="left" vertical="center"/>
    </xf>
    <xf numFmtId="0" fontId="49" fillId="0" borderId="24" xfId="67" applyFont="1" applyBorder="1" applyAlignment="1">
      <alignment horizontal="center" wrapText="1"/>
    </xf>
    <xf numFmtId="0" fontId="49" fillId="0" borderId="37" xfId="67" applyFont="1" applyBorder="1" applyAlignment="1">
      <alignment horizontal="center" wrapText="1"/>
    </xf>
    <xf numFmtId="3" fontId="49" fillId="0" borderId="38" xfId="67" applyNumberFormat="1" applyFont="1" applyBorder="1" applyAlignment="1">
      <alignment horizontal="center" wrapText="1"/>
    </xf>
    <xf numFmtId="2" fontId="46" fillId="0" borderId="42" xfId="0" quotePrefix="1" applyNumberFormat="1" applyFont="1" applyFill="1" applyBorder="1" applyAlignment="1">
      <alignment horizontal="center"/>
    </xf>
    <xf numFmtId="2" fontId="46" fillId="0" borderId="52" xfId="67" applyNumberFormat="1" applyFont="1" applyFill="1" applyBorder="1" applyAlignment="1">
      <alignment horizontal="center"/>
    </xf>
    <xf numFmtId="4" fontId="46" fillId="0" borderId="21" xfId="67" applyNumberFormat="1" applyFont="1" applyBorder="1" applyAlignment="1">
      <alignment horizontal="center"/>
    </xf>
    <xf numFmtId="0" fontId="49" fillId="0" borderId="0" xfId="67" applyFont="1" applyBorder="1"/>
    <xf numFmtId="0" fontId="46" fillId="0" borderId="0" xfId="0" applyFont="1" applyBorder="1" applyAlignment="1">
      <alignment horizontal="center" vertical="center"/>
    </xf>
    <xf numFmtId="2" fontId="46" fillId="0" borderId="0" xfId="0" applyNumberFormat="1" applyFont="1" applyBorder="1" applyAlignment="1">
      <alignment horizontal="center" vertical="center"/>
    </xf>
    <xf numFmtId="166" fontId="46" fillId="0" borderId="40" xfId="67" applyNumberFormat="1" applyFont="1" applyBorder="1" applyAlignment="1">
      <alignment horizontal="center"/>
    </xf>
    <xf numFmtId="3" fontId="46" fillId="0" borderId="18" xfId="67" applyNumberFormat="1" applyFont="1" applyBorder="1" applyAlignment="1">
      <alignment horizontal="center"/>
    </xf>
    <xf numFmtId="1" fontId="46" fillId="0" borderId="18" xfId="67" applyNumberFormat="1" applyFont="1" applyBorder="1" applyAlignment="1">
      <alignment horizontal="center"/>
    </xf>
    <xf numFmtId="167" fontId="46" fillId="0" borderId="37" xfId="67" applyNumberFormat="1" applyFont="1" applyBorder="1" applyAlignment="1">
      <alignment horizontal="center" wrapText="1"/>
    </xf>
    <xf numFmtId="0" fontId="49" fillId="0" borderId="37" xfId="67" applyFont="1" applyBorder="1" applyAlignment="1">
      <alignment horizontal="center" vertical="center" wrapText="1"/>
    </xf>
    <xf numFmtId="11" fontId="46" fillId="0" borderId="40" xfId="67" applyNumberFormat="1" applyFont="1" applyBorder="1" applyAlignment="1">
      <alignment horizontal="center" vertical="center"/>
    </xf>
    <xf numFmtId="11" fontId="46" fillId="0" borderId="41" xfId="67" applyNumberFormat="1" applyFont="1" applyBorder="1" applyAlignment="1">
      <alignment horizontal="center" vertical="center"/>
    </xf>
    <xf numFmtId="0" fontId="46" fillId="0" borderId="34" xfId="67" applyFont="1" applyBorder="1" applyAlignment="1">
      <alignment horizontal="center" vertical="center"/>
    </xf>
    <xf numFmtId="11" fontId="46" fillId="0" borderId="15" xfId="67" applyNumberFormat="1" applyFont="1" applyBorder="1" applyAlignment="1">
      <alignment horizontal="center" vertical="center"/>
    </xf>
    <xf numFmtId="11" fontId="46" fillId="0" borderId="17" xfId="67" applyNumberFormat="1" applyFont="1" applyBorder="1" applyAlignment="1">
      <alignment horizontal="center" vertical="center"/>
    </xf>
    <xf numFmtId="11" fontId="46" fillId="0" borderId="18" xfId="67" applyNumberFormat="1" applyFont="1" applyBorder="1" applyAlignment="1">
      <alignment horizontal="center" vertical="center"/>
    </xf>
    <xf numFmtId="167" fontId="49" fillId="0" borderId="37" xfId="67" applyNumberFormat="1" applyFont="1" applyBorder="1" applyAlignment="1">
      <alignment horizontal="center" vertical="center" wrapText="1"/>
    </xf>
    <xf numFmtId="2" fontId="49" fillId="0" borderId="38" xfId="67" applyNumberFormat="1" applyFont="1" applyBorder="1" applyAlignment="1">
      <alignment horizontal="center" vertical="center" wrapText="1"/>
    </xf>
    <xf numFmtId="3" fontId="46" fillId="0" borderId="0" xfId="67" applyNumberFormat="1" applyFont="1"/>
    <xf numFmtId="3" fontId="49" fillId="0" borderId="0" xfId="67" applyNumberFormat="1" applyFont="1"/>
    <xf numFmtId="11" fontId="49" fillId="0" borderId="0" xfId="67" applyNumberFormat="1" applyFont="1"/>
    <xf numFmtId="11" fontId="46" fillId="0" borderId="34" xfId="0" applyNumberFormat="1" applyFont="1" applyFill="1" applyBorder="1" applyAlignment="1">
      <alignment horizontal="center" vertical="center"/>
    </xf>
    <xf numFmtId="11" fontId="46" fillId="0" borderId="34" xfId="67" applyNumberFormat="1" applyFont="1" applyFill="1" applyBorder="1" applyAlignment="1">
      <alignment horizontal="center" vertical="center"/>
    </xf>
    <xf numFmtId="11" fontId="46" fillId="0" borderId="35" xfId="67" applyNumberFormat="1" applyFont="1" applyFill="1" applyBorder="1" applyAlignment="1">
      <alignment horizontal="center" vertical="center"/>
    </xf>
    <xf numFmtId="166" fontId="39" fillId="0" borderId="0" xfId="67" applyNumberFormat="1" applyFont="1" applyFill="1" applyBorder="1" applyAlignment="1">
      <alignment horizontal="center"/>
    </xf>
    <xf numFmtId="166" fontId="39" fillId="0" borderId="28" xfId="67" applyNumberFormat="1" applyFont="1" applyFill="1" applyBorder="1" applyAlignment="1">
      <alignment horizontal="center"/>
    </xf>
    <xf numFmtId="166" fontId="39" fillId="0" borderId="29" xfId="67" applyNumberFormat="1" applyFont="1" applyFill="1" applyBorder="1" applyAlignment="1">
      <alignment horizontal="center"/>
    </xf>
    <xf numFmtId="3" fontId="39" fillId="0" borderId="30" xfId="67" applyNumberFormat="1" applyFont="1" applyBorder="1" applyAlignment="1">
      <alignment horizontal="center"/>
    </xf>
    <xf numFmtId="0" fontId="39" fillId="0" borderId="27" xfId="67" applyFont="1" applyFill="1" applyBorder="1" applyAlignment="1">
      <alignment horizontal="right"/>
    </xf>
    <xf numFmtId="0" fontId="39" fillId="0" borderId="0" xfId="67" applyFont="1" applyFill="1" applyBorder="1" applyAlignment="1">
      <alignment horizontal="center"/>
    </xf>
    <xf numFmtId="0" fontId="39" fillId="0" borderId="28" xfId="67" applyFont="1" applyFill="1" applyBorder="1" applyAlignment="1">
      <alignment horizontal="right"/>
    </xf>
    <xf numFmtId="0" fontId="39" fillId="0" borderId="28" xfId="67" applyFont="1" applyFill="1" applyBorder="1" applyAlignment="1">
      <alignment horizontal="center"/>
    </xf>
    <xf numFmtId="0" fontId="39" fillId="0" borderId="29" xfId="67" applyFont="1" applyFill="1" applyBorder="1" applyAlignment="1">
      <alignment horizontal="right"/>
    </xf>
    <xf numFmtId="0" fontId="39" fillId="0" borderId="29" xfId="67" applyFont="1" applyFill="1" applyBorder="1" applyAlignment="1">
      <alignment horizontal="center"/>
    </xf>
    <xf numFmtId="0" fontId="39" fillId="0" borderId="4" xfId="67" applyFont="1" applyFill="1" applyBorder="1" applyAlignment="1"/>
    <xf numFmtId="164" fontId="46" fillId="0" borderId="15" xfId="67" applyNumberFormat="1" applyFont="1" applyFill="1" applyBorder="1" applyAlignment="1">
      <alignment horizontal="center"/>
    </xf>
    <xf numFmtId="0" fontId="49" fillId="0" borderId="0" xfId="67" applyFont="1" applyBorder="1" applyAlignment="1">
      <alignment horizontal="center" vertical="center"/>
    </xf>
    <xf numFmtId="3" fontId="49" fillId="0" borderId="0" xfId="67" applyNumberFormat="1" applyFont="1" applyBorder="1" applyAlignment="1">
      <alignment horizontal="center" vertical="center"/>
    </xf>
    <xf numFmtId="0" fontId="73" fillId="0" borderId="0" xfId="93" applyNumberFormat="1" applyFont="1" applyFill="1" applyBorder="1"/>
    <xf numFmtId="166" fontId="46" fillId="0" borderId="40" xfId="93" applyNumberFormat="1" applyFont="1" applyFill="1" applyBorder="1" applyAlignment="1">
      <alignment horizontal="center" vertical="center"/>
    </xf>
    <xf numFmtId="166" fontId="46" fillId="0" borderId="15" xfId="93" applyNumberFormat="1" applyFont="1" applyFill="1" applyBorder="1" applyAlignment="1">
      <alignment horizontal="center" vertical="center"/>
    </xf>
    <xf numFmtId="3" fontId="46" fillId="0" borderId="15" xfId="93" applyNumberFormat="1" applyFont="1" applyFill="1" applyBorder="1" applyAlignment="1">
      <alignment horizontal="center" vertical="center"/>
    </xf>
    <xf numFmtId="179" fontId="72" fillId="0" borderId="0" xfId="93" applyFont="1" applyFill="1"/>
    <xf numFmtId="0" fontId="46" fillId="0" borderId="0" xfId="0" applyFont="1" applyFill="1" applyAlignment="1">
      <alignment vertical="center"/>
    </xf>
    <xf numFmtId="167" fontId="46" fillId="0" borderId="17" xfId="0" applyNumberFormat="1" applyFont="1" applyFill="1" applyBorder="1" applyAlignment="1">
      <alignment horizontal="center"/>
    </xf>
    <xf numFmtId="169" fontId="46" fillId="0" borderId="17" xfId="67" applyNumberFormat="1" applyFont="1" applyFill="1" applyBorder="1" applyAlignment="1">
      <alignment horizontal="center"/>
    </xf>
    <xf numFmtId="166" fontId="46" fillId="0" borderId="17" xfId="67" applyNumberFormat="1" applyFont="1" applyFill="1" applyBorder="1" applyAlignment="1">
      <alignment horizontal="center"/>
    </xf>
    <xf numFmtId="180" fontId="46" fillId="0" borderId="17" xfId="0" applyNumberFormat="1" applyFont="1" applyFill="1" applyBorder="1" applyAlignment="1">
      <alignment horizontal="center"/>
    </xf>
    <xf numFmtId="9" fontId="46" fillId="0" borderId="17" xfId="74" applyFont="1" applyFill="1" applyBorder="1" applyAlignment="1">
      <alignment horizontal="center"/>
    </xf>
    <xf numFmtId="2" fontId="46" fillId="0" borderId="17" xfId="0" applyNumberFormat="1" applyFont="1" applyFill="1" applyBorder="1" applyAlignment="1">
      <alignment horizontal="center"/>
    </xf>
    <xf numFmtId="1" fontId="46" fillId="0" borderId="17" xfId="0" applyNumberFormat="1" applyFont="1" applyFill="1" applyBorder="1" applyAlignment="1">
      <alignment horizontal="center"/>
    </xf>
    <xf numFmtId="1" fontId="46" fillId="0" borderId="22" xfId="0" applyNumberFormat="1" applyFont="1" applyFill="1" applyBorder="1" applyAlignment="1">
      <alignment horizontal="center"/>
    </xf>
    <xf numFmtId="0" fontId="49" fillId="0" borderId="37" xfId="67" applyFont="1" applyFill="1" applyBorder="1" applyAlignment="1">
      <alignment horizontal="center" wrapText="1"/>
    </xf>
    <xf numFmtId="180" fontId="46" fillId="0" borderId="20" xfId="67" applyNumberFormat="1" applyFont="1" applyBorder="1" applyAlignment="1">
      <alignment horizontal="center" vertical="center"/>
    </xf>
    <xf numFmtId="180" fontId="46" fillId="0" borderId="17" xfId="0" applyNumberFormat="1" applyFont="1" applyBorder="1" applyAlignment="1">
      <alignment horizontal="center"/>
    </xf>
    <xf numFmtId="0" fontId="46" fillId="0" borderId="53" xfId="67" applyFont="1" applyBorder="1" applyAlignment="1">
      <alignment horizontal="center"/>
    </xf>
    <xf numFmtId="0" fontId="77" fillId="0" borderId="0" xfId="113" applyFont="1"/>
    <xf numFmtId="0" fontId="39" fillId="0" borderId="7" xfId="113" applyFont="1" applyFill="1" applyBorder="1" applyAlignment="1">
      <alignment horizontal="center"/>
    </xf>
    <xf numFmtId="0" fontId="77" fillId="0" borderId="7" xfId="113" applyFont="1" applyBorder="1" applyAlignment="1">
      <alignment horizontal="center"/>
    </xf>
    <xf numFmtId="166" fontId="77" fillId="0" borderId="7" xfId="113" applyNumberFormat="1" applyFont="1" applyBorder="1" applyAlignment="1">
      <alignment horizontal="center"/>
    </xf>
    <xf numFmtId="180" fontId="77" fillId="0" borderId="7" xfId="113" applyNumberFormat="1" applyFont="1" applyBorder="1" applyAlignment="1">
      <alignment horizontal="center"/>
    </xf>
    <xf numFmtId="43" fontId="77" fillId="0" borderId="0" xfId="114" applyFont="1"/>
    <xf numFmtId="2" fontId="44" fillId="0" borderId="32" xfId="67" quotePrefix="1" applyNumberFormat="1" applyFont="1" applyBorder="1" applyAlignment="1">
      <alignment horizontal="center" vertical="top" wrapText="1"/>
    </xf>
    <xf numFmtId="2" fontId="44" fillId="0" borderId="0" xfId="67" quotePrefix="1" applyNumberFormat="1" applyFont="1" applyBorder="1" applyAlignment="1">
      <alignment horizontal="center" vertical="top" wrapText="1"/>
    </xf>
    <xf numFmtId="180" fontId="46" fillId="0" borderId="20" xfId="67" quotePrefix="1" applyNumberFormat="1" applyFont="1" applyBorder="1" applyAlignment="1">
      <alignment horizontal="center" vertical="center"/>
    </xf>
    <xf numFmtId="171" fontId="46" fillId="0" borderId="0" xfId="67" quotePrefix="1" applyNumberFormat="1" applyFont="1" applyBorder="1" applyAlignment="1">
      <alignment horizontal="center" vertical="center"/>
    </xf>
    <xf numFmtId="0" fontId="46" fillId="0" borderId="0" xfId="0" applyFont="1" applyAlignment="1">
      <alignment wrapText="1"/>
    </xf>
    <xf numFmtId="0" fontId="49" fillId="0" borderId="3" xfId="0" applyFont="1" applyBorder="1" applyAlignment="1">
      <alignment horizontal="center" vertical="center"/>
    </xf>
    <xf numFmtId="2" fontId="49" fillId="0" borderId="3" xfId="0" applyNumberFormat="1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10" fontId="46" fillId="0" borderId="20" xfId="74" applyNumberFormat="1" applyFont="1" applyBorder="1" applyAlignment="1">
      <alignment horizontal="center" vertical="center"/>
    </xf>
    <xf numFmtId="11" fontId="46" fillId="0" borderId="20" xfId="0" applyNumberFormat="1" applyFont="1" applyBorder="1" applyAlignment="1">
      <alignment horizontal="center" vertical="center"/>
    </xf>
    <xf numFmtId="3" fontId="46" fillId="0" borderId="20" xfId="0" applyNumberFormat="1" applyFont="1" applyBorder="1" applyAlignment="1">
      <alignment horizontal="center" vertical="center"/>
    </xf>
    <xf numFmtId="2" fontId="46" fillId="0" borderId="20" xfId="0" applyNumberFormat="1" applyFont="1" applyBorder="1" applyAlignment="1">
      <alignment horizontal="center" vertical="center"/>
    </xf>
    <xf numFmtId="0" fontId="46" fillId="0" borderId="6" xfId="0" applyFont="1" applyBorder="1" applyAlignment="1">
      <alignment horizontal="center" vertical="center"/>
    </xf>
    <xf numFmtId="10" fontId="46" fillId="0" borderId="6" xfId="74" applyNumberFormat="1" applyFont="1" applyBorder="1" applyAlignment="1">
      <alignment horizontal="center" vertical="center"/>
    </xf>
    <xf numFmtId="11" fontId="46" fillId="0" borderId="6" xfId="0" applyNumberFormat="1" applyFont="1" applyBorder="1" applyAlignment="1">
      <alignment horizontal="center" vertical="center"/>
    </xf>
    <xf numFmtId="3" fontId="46" fillId="0" borderId="6" xfId="0" applyNumberFormat="1" applyFont="1" applyBorder="1" applyAlignment="1">
      <alignment horizontal="center" vertical="center"/>
    </xf>
    <xf numFmtId="2" fontId="46" fillId="0" borderId="6" xfId="0" applyNumberFormat="1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 wrapText="1"/>
    </xf>
    <xf numFmtId="167" fontId="49" fillId="0" borderId="3" xfId="0" applyNumberFormat="1" applyFont="1" applyBorder="1" applyAlignment="1">
      <alignment horizontal="center" vertical="center"/>
    </xf>
    <xf numFmtId="3" fontId="43" fillId="0" borderId="32" xfId="67" applyNumberFormat="1" applyFont="1" applyBorder="1" applyAlignment="1">
      <alignment horizontal="center" vertical="top" wrapText="1"/>
    </xf>
    <xf numFmtId="11" fontId="44" fillId="0" borderId="32" xfId="67" applyNumberFormat="1" applyFont="1" applyBorder="1" applyAlignment="1">
      <alignment horizontal="center" vertical="top" wrapText="1"/>
    </xf>
    <xf numFmtId="11" fontId="44" fillId="0" borderId="32" xfId="67" quotePrefix="1" applyNumberFormat="1" applyFont="1" applyBorder="1" applyAlignment="1">
      <alignment horizontal="center" vertical="top" wrapText="1"/>
    </xf>
    <xf numFmtId="1" fontId="44" fillId="0" borderId="0" xfId="67" applyNumberFormat="1" applyFont="1" applyAlignment="1">
      <alignment horizontal="center" vertical="center" wrapText="1"/>
    </xf>
    <xf numFmtId="1" fontId="44" fillId="0" borderId="0" xfId="67" applyNumberFormat="1" applyFont="1" applyAlignment="1">
      <alignment horizontal="center" vertical="top" wrapText="1"/>
    </xf>
    <xf numFmtId="166" fontId="44" fillId="0" borderId="32" xfId="67" quotePrefix="1" applyNumberFormat="1" applyFont="1" applyBorder="1" applyAlignment="1">
      <alignment horizontal="center" vertical="top" wrapText="1"/>
    </xf>
    <xf numFmtId="1" fontId="44" fillId="0" borderId="32" xfId="67" quotePrefix="1" applyNumberFormat="1" applyFont="1" applyBorder="1" applyAlignment="1">
      <alignment horizontal="center" vertical="top" wrapText="1"/>
    </xf>
    <xf numFmtId="0" fontId="46" fillId="0" borderId="0" xfId="67" applyFont="1" applyBorder="1" applyAlignment="1">
      <alignment horizontal="center" vertical="top" wrapText="1"/>
    </xf>
    <xf numFmtId="0" fontId="51" fillId="0" borderId="0" xfId="0" quotePrefix="1" applyFont="1" applyAlignment="1">
      <alignment horizontal="left" vertical="center" wrapText="1"/>
    </xf>
    <xf numFmtId="179" fontId="46" fillId="0" borderId="57" xfId="93" applyFont="1" applyBorder="1" applyAlignment="1">
      <alignment horizontal="center" vertical="center"/>
    </xf>
    <xf numFmtId="1" fontId="46" fillId="0" borderId="58" xfId="93" applyNumberFormat="1" applyFont="1" applyBorder="1" applyAlignment="1">
      <alignment horizontal="center" vertical="center"/>
    </xf>
    <xf numFmtId="179" fontId="46" fillId="0" borderId="61" xfId="93" applyFont="1" applyBorder="1" applyAlignment="1">
      <alignment horizontal="center" vertical="center"/>
    </xf>
    <xf numFmtId="179" fontId="46" fillId="0" borderId="59" xfId="93" applyFont="1" applyBorder="1" applyAlignment="1">
      <alignment horizontal="center" vertical="center"/>
    </xf>
    <xf numFmtId="179" fontId="46" fillId="0" borderId="63" xfId="93" applyFont="1" applyBorder="1" applyAlignment="1">
      <alignment horizontal="center" vertical="center"/>
    </xf>
    <xf numFmtId="2" fontId="46" fillId="0" borderId="64" xfId="93" applyNumberFormat="1" applyFont="1" applyBorder="1" applyAlignment="1">
      <alignment horizontal="center" vertical="center"/>
    </xf>
    <xf numFmtId="11" fontId="46" fillId="0" borderId="64" xfId="93" applyNumberFormat="1" applyFont="1" applyBorder="1" applyAlignment="1">
      <alignment horizontal="center" vertical="center"/>
    </xf>
    <xf numFmtId="11" fontId="46" fillId="0" borderId="62" xfId="93" applyNumberFormat="1" applyFont="1" applyBorder="1" applyAlignment="1">
      <alignment horizontal="center" vertical="center"/>
    </xf>
    <xf numFmtId="1" fontId="49" fillId="0" borderId="62" xfId="93" applyNumberFormat="1" applyFont="1" applyBorder="1" applyAlignment="1">
      <alignment horizontal="center" vertical="center"/>
    </xf>
    <xf numFmtId="166" fontId="44" fillId="0" borderId="0" xfId="67" quotePrefix="1" applyNumberFormat="1" applyFont="1" applyAlignment="1">
      <alignment horizontal="center" vertical="top" wrapText="1"/>
    </xf>
    <xf numFmtId="3" fontId="43" fillId="0" borderId="32" xfId="67" applyNumberFormat="1" applyFont="1" applyFill="1" applyBorder="1" applyAlignment="1">
      <alignment horizontal="center" vertical="center" wrapText="1"/>
    </xf>
    <xf numFmtId="3" fontId="43" fillId="0" borderId="32" xfId="67" applyNumberFormat="1" applyFont="1" applyBorder="1" applyAlignment="1">
      <alignment horizontal="center" vertical="center" wrapText="1"/>
    </xf>
    <xf numFmtId="1" fontId="43" fillId="0" borderId="32" xfId="67" applyNumberFormat="1" applyFont="1" applyFill="1" applyBorder="1" applyAlignment="1">
      <alignment horizontal="center" vertical="center" wrapText="1"/>
    </xf>
    <xf numFmtId="1" fontId="43" fillId="0" borderId="32" xfId="67" applyNumberFormat="1" applyFont="1" applyBorder="1" applyAlignment="1">
      <alignment horizontal="center" vertical="center" wrapText="1"/>
    </xf>
    <xf numFmtId="11" fontId="43" fillId="0" borderId="32" xfId="67" applyNumberFormat="1" applyFont="1" applyFill="1" applyBorder="1" applyAlignment="1">
      <alignment horizontal="center" vertical="center" wrapText="1"/>
    </xf>
    <xf numFmtId="0" fontId="46" fillId="0" borderId="0" xfId="67" applyFont="1" applyAlignment="1">
      <alignment vertical="center"/>
    </xf>
    <xf numFmtId="0" fontId="73" fillId="0" borderId="0" xfId="115" applyNumberFormat="1" applyFont="1" applyFill="1" applyBorder="1"/>
    <xf numFmtId="0" fontId="73" fillId="0" borderId="0" xfId="115" applyNumberFormat="1" applyFont="1" applyFill="1" applyBorder="1" applyAlignment="1">
      <alignment horizontal="center"/>
    </xf>
    <xf numFmtId="0" fontId="73" fillId="0" borderId="7" xfId="115" applyNumberFormat="1" applyFont="1" applyFill="1" applyBorder="1" applyAlignment="1">
      <alignment horizontal="center" vertical="center"/>
    </xf>
    <xf numFmtId="179" fontId="73" fillId="0" borderId="7" xfId="93" applyFont="1" applyFill="1" applyBorder="1" applyAlignment="1">
      <alignment horizontal="center" vertical="center"/>
    </xf>
    <xf numFmtId="2" fontId="73" fillId="0" borderId="7" xfId="93" applyNumberFormat="1" applyFont="1" applyFill="1" applyBorder="1" applyAlignment="1">
      <alignment horizontal="center" vertical="center"/>
    </xf>
    <xf numFmtId="11" fontId="73" fillId="0" borderId="7" xfId="93" applyNumberFormat="1" applyFont="1" applyFill="1" applyBorder="1" applyAlignment="1">
      <alignment horizontal="center" vertical="center"/>
    </xf>
    <xf numFmtId="1" fontId="73" fillId="0" borderId="7" xfId="93" applyNumberFormat="1" applyFont="1" applyFill="1" applyBorder="1" applyAlignment="1">
      <alignment horizontal="center" vertical="center"/>
    </xf>
    <xf numFmtId="3" fontId="82" fillId="0" borderId="7" xfId="113" applyNumberFormat="1" applyFont="1" applyFill="1" applyBorder="1" applyAlignment="1">
      <alignment horizontal="center"/>
    </xf>
    <xf numFmtId="180" fontId="82" fillId="0" borderId="7" xfId="113" applyNumberFormat="1" applyFont="1" applyBorder="1" applyAlignment="1">
      <alignment horizontal="center"/>
    </xf>
    <xf numFmtId="3" fontId="82" fillId="0" borderId="7" xfId="113" applyNumberFormat="1" applyFont="1" applyBorder="1" applyAlignment="1">
      <alignment horizontal="center"/>
    </xf>
    <xf numFmtId="0" fontId="73" fillId="0" borderId="0" xfId="173" applyNumberFormat="1" applyFont="1" applyFill="1" applyBorder="1"/>
    <xf numFmtId="0" fontId="73" fillId="0" borderId="0" xfId="173" applyNumberFormat="1" applyFont="1" applyFill="1" applyBorder="1" applyAlignment="1">
      <alignment horizontal="center"/>
    </xf>
    <xf numFmtId="0" fontId="74" fillId="0" borderId="30" xfId="173" applyNumberFormat="1" applyFont="1" applyFill="1" applyBorder="1"/>
    <xf numFmtId="0" fontId="74" fillId="0" borderId="30" xfId="173" applyNumberFormat="1" applyFont="1" applyFill="1" applyBorder="1" applyAlignment="1">
      <alignment horizontal="center"/>
    </xf>
    <xf numFmtId="0" fontId="73" fillId="0" borderId="0" xfId="173" applyNumberFormat="1" applyFont="1" applyFill="1" applyBorder="1" applyAlignment="1">
      <alignment horizontal="left" vertical="center"/>
    </xf>
    <xf numFmtId="0" fontId="73" fillId="0" borderId="0" xfId="173" applyNumberFormat="1" applyFont="1" applyFill="1" applyBorder="1" applyAlignment="1">
      <alignment horizontal="center" wrapText="1"/>
    </xf>
    <xf numFmtId="0" fontId="75" fillId="0" borderId="0" xfId="173" applyNumberFormat="1" applyFont="1" applyFill="1" applyBorder="1"/>
    <xf numFmtId="0" fontId="76" fillId="0" borderId="0" xfId="173" applyNumberFormat="1" applyFont="1" applyFill="1" applyBorder="1" applyAlignment="1">
      <alignment horizontal="center"/>
    </xf>
    <xf numFmtId="0" fontId="73" fillId="0" borderId="0" xfId="173" applyNumberFormat="1" applyFont="1" applyFill="1" applyBorder="1" applyAlignment="1">
      <alignment horizontal="left"/>
    </xf>
    <xf numFmtId="9" fontId="73" fillId="0" borderId="0" xfId="173" applyNumberFormat="1" applyFont="1" applyFill="1" applyBorder="1" applyAlignment="1">
      <alignment horizontal="center"/>
    </xf>
    <xf numFmtId="0" fontId="73" fillId="0" borderId="30" xfId="173" applyNumberFormat="1" applyFont="1" applyFill="1" applyBorder="1"/>
    <xf numFmtId="0" fontId="73" fillId="0" borderId="30" xfId="173" applyNumberFormat="1" applyFont="1" applyFill="1" applyBorder="1" applyAlignment="1">
      <alignment horizontal="center"/>
    </xf>
    <xf numFmtId="2" fontId="73" fillId="0" borderId="0" xfId="173" applyNumberFormat="1" applyFont="1" applyFill="1" applyBorder="1" applyAlignment="1">
      <alignment horizontal="center"/>
    </xf>
    <xf numFmtId="0" fontId="74" fillId="0" borderId="0" xfId="173" applyNumberFormat="1" applyFont="1" applyFill="1" applyBorder="1"/>
    <xf numFmtId="166" fontId="74" fillId="0" borderId="0" xfId="173" applyNumberFormat="1" applyFont="1" applyFill="1" applyBorder="1" applyAlignment="1">
      <alignment horizontal="center"/>
    </xf>
    <xf numFmtId="0" fontId="74" fillId="0" borderId="0" xfId="173" applyNumberFormat="1" applyFont="1" applyFill="1" applyBorder="1" applyAlignment="1">
      <alignment wrapText="1"/>
    </xf>
    <xf numFmtId="0" fontId="73" fillId="0" borderId="0" xfId="173" applyNumberFormat="1" applyFont="1" applyFill="1" applyBorder="1" applyAlignment="1">
      <alignment horizontal="left" indent="1"/>
    </xf>
    <xf numFmtId="1" fontId="73" fillId="0" borderId="0" xfId="173" applyNumberFormat="1" applyFont="1" applyFill="1" applyBorder="1" applyAlignment="1">
      <alignment horizontal="center"/>
    </xf>
    <xf numFmtId="0" fontId="73" fillId="0" borderId="0" xfId="173" applyNumberFormat="1" applyFont="1" applyFill="1" applyBorder="1" applyAlignment="1">
      <alignment wrapText="1"/>
    </xf>
    <xf numFmtId="0" fontId="73" fillId="0" borderId="0" xfId="173" quotePrefix="1" applyNumberFormat="1" applyFont="1" applyFill="1" applyBorder="1" applyAlignment="1">
      <alignment horizontal="center"/>
    </xf>
    <xf numFmtId="0" fontId="59" fillId="0" borderId="0" xfId="173" applyFont="1" applyFill="1"/>
    <xf numFmtId="0" fontId="5" fillId="0" borderId="0" xfId="173" applyFont="1" applyFill="1"/>
    <xf numFmtId="0" fontId="5" fillId="0" borderId="0" xfId="173" applyFont="1" applyFill="1" applyAlignment="1"/>
    <xf numFmtId="0" fontId="5" fillId="0" borderId="0" xfId="173" applyFont="1" applyFill="1" applyAlignment="1">
      <alignment vertical="center"/>
    </xf>
    <xf numFmtId="0" fontId="46" fillId="0" borderId="0" xfId="117" applyFont="1"/>
    <xf numFmtId="0" fontId="46" fillId="0" borderId="0" xfId="117" applyFont="1" applyBorder="1"/>
    <xf numFmtId="2" fontId="46" fillId="0" borderId="0" xfId="117" applyNumberFormat="1" applyFont="1" applyBorder="1"/>
    <xf numFmtId="167" fontId="46" fillId="0" borderId="0" xfId="117" applyNumberFormat="1" applyFont="1" applyBorder="1"/>
    <xf numFmtId="0" fontId="46" fillId="0" borderId="0" xfId="117" applyFont="1" applyBorder="1" applyAlignment="1">
      <alignment horizontal="center"/>
    </xf>
    <xf numFmtId="2" fontId="49" fillId="0" borderId="22" xfId="117" applyNumberFormat="1" applyFont="1" applyBorder="1" applyAlignment="1">
      <alignment horizontal="center" vertical="center"/>
    </xf>
    <xf numFmtId="0" fontId="46" fillId="0" borderId="18" xfId="117" applyFont="1" applyBorder="1" applyAlignment="1">
      <alignment horizontal="center" vertical="center"/>
    </xf>
    <xf numFmtId="2" fontId="46" fillId="0" borderId="18" xfId="117" applyNumberFormat="1" applyFont="1" applyBorder="1" applyAlignment="1">
      <alignment horizontal="center" vertical="center"/>
    </xf>
    <xf numFmtId="167" fontId="46" fillId="0" borderId="18" xfId="117" applyNumberFormat="1" applyFont="1" applyBorder="1" applyAlignment="1">
      <alignment horizontal="center" vertical="center"/>
    </xf>
    <xf numFmtId="167" fontId="46" fillId="0" borderId="40" xfId="117" applyNumberFormat="1" applyFont="1" applyFill="1" applyBorder="1" applyAlignment="1">
      <alignment horizontal="center" vertical="center"/>
    </xf>
    <xf numFmtId="11" fontId="46" fillId="0" borderId="0" xfId="117" applyNumberFormat="1" applyFont="1" applyFill="1" applyBorder="1"/>
    <xf numFmtId="11" fontId="46" fillId="0" borderId="22" xfId="117" applyNumberFormat="1" applyFont="1" applyFill="1" applyBorder="1" applyAlignment="1">
      <alignment horizontal="center" vertical="center"/>
    </xf>
    <xf numFmtId="11" fontId="46" fillId="0" borderId="18" xfId="117" applyNumberFormat="1" applyFont="1" applyFill="1" applyBorder="1" applyAlignment="1">
      <alignment horizontal="center" vertical="center"/>
    </xf>
    <xf numFmtId="11" fontId="46" fillId="0" borderId="18" xfId="117" applyNumberFormat="1" applyFont="1" applyBorder="1" applyAlignment="1">
      <alignment horizontal="center" vertical="center"/>
    </xf>
    <xf numFmtId="11" fontId="46" fillId="0" borderId="15" xfId="117" applyNumberFormat="1" applyFont="1" applyBorder="1" applyAlignment="1">
      <alignment horizontal="center" vertical="center"/>
    </xf>
    <xf numFmtId="11" fontId="46" fillId="0" borderId="35" xfId="117" applyNumberFormat="1" applyFont="1" applyFill="1" applyBorder="1" applyAlignment="1">
      <alignment horizontal="center" vertical="center"/>
    </xf>
    <xf numFmtId="11" fontId="46" fillId="0" borderId="17" xfId="117" applyNumberFormat="1" applyFont="1" applyFill="1" applyBorder="1" applyAlignment="1">
      <alignment horizontal="center" vertical="center"/>
    </xf>
    <xf numFmtId="11" fontId="46" fillId="0" borderId="15" xfId="117" applyNumberFormat="1" applyFont="1" applyFill="1" applyBorder="1" applyAlignment="1">
      <alignment horizontal="center" vertical="center"/>
    </xf>
    <xf numFmtId="11" fontId="46" fillId="0" borderId="34" xfId="117" applyNumberFormat="1" applyFont="1" applyFill="1" applyBorder="1" applyAlignment="1">
      <alignment horizontal="center" vertical="center"/>
    </xf>
    <xf numFmtId="11" fontId="46" fillId="0" borderId="17" xfId="117" applyNumberFormat="1" applyFont="1" applyBorder="1" applyAlignment="1">
      <alignment horizontal="center" vertical="center"/>
    </xf>
    <xf numFmtId="0" fontId="46" fillId="0" borderId="34" xfId="117" applyFont="1" applyBorder="1" applyAlignment="1">
      <alignment horizontal="center" vertical="center"/>
    </xf>
    <xf numFmtId="11" fontId="46" fillId="0" borderId="41" xfId="117" applyNumberFormat="1" applyFont="1" applyBorder="1" applyAlignment="1">
      <alignment horizontal="center" vertical="center"/>
    </xf>
    <xf numFmtId="11" fontId="46" fillId="0" borderId="40" xfId="117" applyNumberFormat="1" applyFont="1" applyBorder="1" applyAlignment="1">
      <alignment horizontal="center" vertical="center"/>
    </xf>
    <xf numFmtId="2" fontId="49" fillId="0" borderId="38" xfId="117" applyNumberFormat="1" applyFont="1" applyBorder="1" applyAlignment="1">
      <alignment horizontal="center" vertical="center" wrapText="1"/>
    </xf>
    <xf numFmtId="167" fontId="49" fillId="0" borderId="37" xfId="117" applyNumberFormat="1" applyFont="1" applyBorder="1" applyAlignment="1">
      <alignment horizontal="center" vertical="center" wrapText="1"/>
    </xf>
    <xf numFmtId="0" fontId="49" fillId="0" borderId="37" xfId="117" applyFont="1" applyBorder="1" applyAlignment="1">
      <alignment horizontal="center" vertical="center" wrapText="1"/>
    </xf>
    <xf numFmtId="0" fontId="51" fillId="0" borderId="0" xfId="117" applyFont="1" applyBorder="1"/>
    <xf numFmtId="0" fontId="51" fillId="0" borderId="0" xfId="117" applyFont="1" applyFill="1" applyBorder="1"/>
    <xf numFmtId="0" fontId="49" fillId="0" borderId="0" xfId="117" applyFont="1" applyBorder="1" applyAlignment="1">
      <alignment horizontal="center" wrapText="1"/>
    </xf>
    <xf numFmtId="171" fontId="46" fillId="0" borderId="18" xfId="117" applyNumberFormat="1" applyFont="1" applyBorder="1" applyAlignment="1">
      <alignment horizontal="center" vertical="center"/>
    </xf>
    <xf numFmtId="0" fontId="46" fillId="0" borderId="35" xfId="117" applyFont="1" applyBorder="1" applyAlignment="1">
      <alignment horizontal="center" vertical="center"/>
    </xf>
    <xf numFmtId="11" fontId="46" fillId="0" borderId="15" xfId="117" applyNumberFormat="1" applyFont="1" applyBorder="1" applyAlignment="1">
      <alignment horizontal="center" wrapText="1"/>
    </xf>
    <xf numFmtId="167" fontId="46" fillId="0" borderId="15" xfId="117" applyNumberFormat="1" applyFont="1" applyBorder="1" applyAlignment="1">
      <alignment horizontal="center" vertical="center"/>
    </xf>
    <xf numFmtId="171" fontId="46" fillId="0" borderId="15" xfId="117" applyNumberFormat="1" applyFont="1" applyBorder="1" applyAlignment="1">
      <alignment horizontal="center" vertical="center"/>
    </xf>
    <xf numFmtId="171" fontId="46" fillId="0" borderId="15" xfId="117" applyNumberFormat="1" applyFont="1" applyFill="1" applyBorder="1" applyAlignment="1">
      <alignment horizontal="center" vertical="center"/>
    </xf>
    <xf numFmtId="0" fontId="46" fillId="0" borderId="34" xfId="117" applyFont="1" applyFill="1" applyBorder="1" applyAlignment="1">
      <alignment horizontal="center" vertical="center"/>
    </xf>
    <xf numFmtId="0" fontId="49" fillId="0" borderId="36" xfId="117" applyFont="1" applyBorder="1" applyAlignment="1">
      <alignment horizontal="center" vertical="center" wrapText="1"/>
    </xf>
    <xf numFmtId="11" fontId="46" fillId="0" borderId="0" xfId="117" applyNumberFormat="1" applyFont="1" applyBorder="1"/>
    <xf numFmtId="0" fontId="51" fillId="0" borderId="0" xfId="117" applyFont="1" applyBorder="1" applyAlignment="1">
      <alignment horizontal="left"/>
    </xf>
    <xf numFmtId="0" fontId="46" fillId="0" borderId="65" xfId="117" applyFont="1" applyBorder="1" applyAlignment="1">
      <alignment horizontal="center"/>
    </xf>
    <xf numFmtId="0" fontId="46" fillId="0" borderId="66" xfId="117" applyFont="1" applyBorder="1" applyAlignment="1">
      <alignment horizontal="center"/>
    </xf>
    <xf numFmtId="0" fontId="46" fillId="0" borderId="0" xfId="117" applyFont="1" applyFill="1" applyBorder="1" applyAlignment="1">
      <alignment horizontal="center"/>
    </xf>
    <xf numFmtId="0" fontId="51" fillId="0" borderId="0" xfId="117" applyFont="1" applyFill="1" applyBorder="1" applyAlignment="1">
      <alignment horizontal="left"/>
    </xf>
    <xf numFmtId="0" fontId="46" fillId="0" borderId="69" xfId="117" applyFont="1" applyBorder="1" applyAlignment="1">
      <alignment horizontal="center"/>
    </xf>
    <xf numFmtId="0" fontId="46" fillId="0" borderId="18" xfId="117" applyFont="1" applyBorder="1" applyAlignment="1">
      <alignment horizontal="center"/>
    </xf>
    <xf numFmtId="0" fontId="46" fillId="0" borderId="35" xfId="117" applyFont="1" applyBorder="1" applyAlignment="1">
      <alignment horizontal="center"/>
    </xf>
    <xf numFmtId="0" fontId="46" fillId="0" borderId="40" xfId="117" applyFont="1" applyBorder="1" applyAlignment="1">
      <alignment horizontal="center"/>
    </xf>
    <xf numFmtId="0" fontId="46" fillId="0" borderId="39" xfId="117" applyFont="1" applyBorder="1" applyAlignment="1">
      <alignment horizontal="center"/>
    </xf>
    <xf numFmtId="0" fontId="46" fillId="0" borderId="0" xfId="117" applyFont="1" applyBorder="1" applyAlignment="1">
      <alignment wrapText="1"/>
    </xf>
    <xf numFmtId="2" fontId="46" fillId="0" borderId="0" xfId="117" applyNumberFormat="1" applyFont="1" applyBorder="1" applyAlignment="1">
      <alignment wrapText="1"/>
    </xf>
    <xf numFmtId="0" fontId="46" fillId="0" borderId="37" xfId="117" applyFont="1" applyBorder="1" applyAlignment="1">
      <alignment horizontal="center" wrapText="1"/>
    </xf>
    <xf numFmtId="167" fontId="46" fillId="0" borderId="37" xfId="117" applyNumberFormat="1" applyFont="1" applyBorder="1" applyAlignment="1">
      <alignment horizontal="center" wrapText="1"/>
    </xf>
    <xf numFmtId="0" fontId="46" fillId="0" borderId="37" xfId="117" applyFont="1" applyFill="1" applyBorder="1" applyAlignment="1">
      <alignment horizontal="center" wrapText="1"/>
    </xf>
    <xf numFmtId="0" fontId="46" fillId="0" borderId="36" xfId="117" applyFont="1" applyBorder="1" applyAlignment="1">
      <alignment horizontal="center" wrapText="1"/>
    </xf>
    <xf numFmtId="0" fontId="49" fillId="0" borderId="0" xfId="117" applyFont="1" applyBorder="1"/>
    <xf numFmtId="0" fontId="71" fillId="0" borderId="0" xfId="117" applyFont="1" applyBorder="1"/>
    <xf numFmtId="0" fontId="49" fillId="0" borderId="0" xfId="0" applyFont="1" applyAlignment="1">
      <alignment horizontal="center"/>
    </xf>
    <xf numFmtId="0" fontId="73" fillId="0" borderId="56" xfId="173" applyNumberFormat="1" applyFont="1" applyFill="1" applyBorder="1" applyAlignment="1">
      <alignment horizontal="center"/>
    </xf>
    <xf numFmtId="179" fontId="49" fillId="0" borderId="22" xfId="93" applyFont="1" applyFill="1" applyBorder="1" applyAlignment="1">
      <alignment horizontal="center" vertical="center"/>
    </xf>
    <xf numFmtId="0" fontId="46" fillId="0" borderId="0" xfId="0" applyFont="1" applyBorder="1" applyAlignment="1">
      <alignment horizontal="left"/>
    </xf>
    <xf numFmtId="3" fontId="46" fillId="0" borderId="0" xfId="0" applyNumberFormat="1" applyFont="1" applyAlignment="1">
      <alignment horizontal="center"/>
    </xf>
    <xf numFmtId="166" fontId="77" fillId="0" borderId="7" xfId="113" applyNumberFormat="1" applyFont="1" applyFill="1" applyBorder="1" applyAlignment="1">
      <alignment horizontal="center"/>
    </xf>
    <xf numFmtId="2" fontId="46" fillId="0" borderId="15" xfId="93" applyNumberFormat="1" applyFont="1" applyFill="1" applyBorder="1" applyAlignment="1">
      <alignment horizontal="center" vertical="center"/>
    </xf>
    <xf numFmtId="4" fontId="46" fillId="0" borderId="15" xfId="93" applyNumberFormat="1" applyFont="1" applyFill="1" applyBorder="1" applyAlignment="1">
      <alignment horizontal="center" vertical="center"/>
    </xf>
    <xf numFmtId="172" fontId="46" fillId="0" borderId="21" xfId="67" applyNumberFormat="1" applyFont="1" applyBorder="1" applyAlignment="1">
      <alignment horizontal="center"/>
    </xf>
    <xf numFmtId="0" fontId="43" fillId="0" borderId="32" xfId="67" applyFont="1" applyFill="1" applyBorder="1" applyAlignment="1">
      <alignment vertical="top" wrapText="1"/>
    </xf>
    <xf numFmtId="0" fontId="49" fillId="0" borderId="0" xfId="67" applyFont="1" applyAlignment="1"/>
    <xf numFmtId="0" fontId="43" fillId="0" borderId="32" xfId="67" applyFont="1" applyFill="1" applyBorder="1" applyAlignment="1">
      <alignment vertical="top"/>
    </xf>
    <xf numFmtId="4" fontId="46" fillId="0" borderId="0" xfId="67" applyNumberFormat="1" applyFont="1" applyAlignment="1">
      <alignment horizontal="center" vertical="center"/>
    </xf>
    <xf numFmtId="4" fontId="44" fillId="0" borderId="0" xfId="67" applyNumberFormat="1" applyFont="1" applyFill="1" applyBorder="1" applyAlignment="1">
      <alignment horizontal="center" vertical="center" wrapText="1"/>
    </xf>
    <xf numFmtId="3" fontId="46" fillId="0" borderId="0" xfId="67" quotePrefix="1" applyNumberFormat="1" applyFont="1" applyBorder="1" applyAlignment="1">
      <alignment horizontal="center" vertical="center"/>
    </xf>
    <xf numFmtId="11" fontId="44" fillId="0" borderId="0" xfId="67" applyNumberFormat="1" applyFont="1" applyAlignment="1">
      <alignment horizontal="center" vertical="center" wrapText="1"/>
    </xf>
    <xf numFmtId="11" fontId="44" fillId="0" borderId="0" xfId="67" applyNumberFormat="1" applyFont="1" applyAlignment="1">
      <alignment horizontal="center" vertical="top" wrapText="1"/>
    </xf>
    <xf numFmtId="2" fontId="49" fillId="0" borderId="41" xfId="117" applyNumberFormat="1" applyFont="1" applyBorder="1" applyAlignment="1">
      <alignment horizontal="center" vertical="center"/>
    </xf>
    <xf numFmtId="172" fontId="46" fillId="0" borderId="0" xfId="0" applyNumberFormat="1" applyFont="1" applyBorder="1" applyAlignment="1">
      <alignment horizontal="center"/>
    </xf>
    <xf numFmtId="172" fontId="46" fillId="0" borderId="0" xfId="0" applyNumberFormat="1" applyFont="1"/>
    <xf numFmtId="181" fontId="46" fillId="0" borderId="0" xfId="0" applyNumberFormat="1" applyFont="1"/>
    <xf numFmtId="164" fontId="46" fillId="0" borderId="15" xfId="93" applyNumberFormat="1" applyFont="1" applyBorder="1" applyAlignment="1">
      <alignment horizontal="center" vertical="center"/>
    </xf>
    <xf numFmtId="3" fontId="46" fillId="0" borderId="46" xfId="0" applyNumberFormat="1" applyFont="1" applyFill="1" applyBorder="1" applyAlignment="1">
      <alignment horizontal="center"/>
    </xf>
    <xf numFmtId="179" fontId="55" fillId="0" borderId="0" xfId="93" applyFont="1" applyAlignment="1">
      <alignment horizontal="center"/>
    </xf>
    <xf numFmtId="179" fontId="46" fillId="0" borderId="7" xfId="93" applyFont="1" applyBorder="1" applyAlignment="1">
      <alignment horizontal="center" vertical="center"/>
    </xf>
    <xf numFmtId="1" fontId="46" fillId="0" borderId="7" xfId="93" applyNumberFormat="1" applyFont="1" applyBorder="1" applyAlignment="1">
      <alignment horizontal="center" vertical="center"/>
    </xf>
    <xf numFmtId="11" fontId="46" fillId="0" borderId="58" xfId="67" applyNumberFormat="1" applyFont="1" applyBorder="1" applyAlignment="1">
      <alignment horizontal="center" vertical="center"/>
    </xf>
    <xf numFmtId="2" fontId="49" fillId="0" borderId="68" xfId="67" applyNumberFormat="1" applyFont="1" applyBorder="1" applyAlignment="1">
      <alignment horizontal="center" vertical="center"/>
    </xf>
    <xf numFmtId="2" fontId="49" fillId="0" borderId="65" xfId="67" applyNumberFormat="1" applyFont="1" applyBorder="1" applyAlignment="1">
      <alignment horizontal="center" vertical="center"/>
    </xf>
    <xf numFmtId="0" fontId="46" fillId="0" borderId="38" xfId="117" applyFont="1" applyBorder="1" applyAlignment="1">
      <alignment horizontal="center" wrapText="1"/>
    </xf>
    <xf numFmtId="0" fontId="46" fillId="0" borderId="41" xfId="67" applyFont="1" applyBorder="1" applyAlignment="1">
      <alignment horizontal="center"/>
    </xf>
    <xf numFmtId="1" fontId="46" fillId="0" borderId="22" xfId="67" applyNumberFormat="1" applyFont="1" applyBorder="1" applyAlignment="1">
      <alignment horizontal="center"/>
    </xf>
    <xf numFmtId="11" fontId="46" fillId="0" borderId="18" xfId="117" applyNumberFormat="1" applyFont="1" applyBorder="1" applyAlignment="1">
      <alignment horizontal="center" wrapText="1"/>
    </xf>
    <xf numFmtId="0" fontId="49" fillId="0" borderId="38" xfId="117" applyFont="1" applyBorder="1" applyAlignment="1">
      <alignment horizontal="center" wrapText="1"/>
    </xf>
    <xf numFmtId="3" fontId="46" fillId="0" borderId="7" xfId="93" applyNumberFormat="1" applyFont="1" applyBorder="1" applyAlignment="1">
      <alignment horizontal="center" vertical="center"/>
    </xf>
    <xf numFmtId="165" fontId="46" fillId="0" borderId="60" xfId="93" applyNumberFormat="1" applyFont="1" applyBorder="1" applyAlignment="1">
      <alignment horizontal="center" vertical="center"/>
    </xf>
    <xf numFmtId="165" fontId="46" fillId="0" borderId="17" xfId="0" applyNumberFormat="1" applyFont="1" applyFill="1" applyBorder="1" applyAlignment="1">
      <alignment horizontal="center"/>
    </xf>
    <xf numFmtId="165" fontId="46" fillId="0" borderId="17" xfId="0" applyNumberFormat="1" applyFont="1" applyBorder="1" applyAlignment="1">
      <alignment horizontal="center"/>
    </xf>
    <xf numFmtId="164" fontId="46" fillId="0" borderId="0" xfId="67" applyNumberFormat="1" applyFont="1"/>
    <xf numFmtId="2" fontId="46" fillId="0" borderId="0" xfId="67" applyNumberFormat="1" applyFont="1" applyBorder="1"/>
    <xf numFmtId="164" fontId="46" fillId="0" borderId="0" xfId="67" applyNumberFormat="1" applyFont="1" applyBorder="1"/>
    <xf numFmtId="164" fontId="46" fillId="0" borderId="0" xfId="67" applyNumberFormat="1" applyFont="1" applyFill="1" applyBorder="1" applyAlignment="1">
      <alignment horizontal="center"/>
    </xf>
    <xf numFmtId="171" fontId="46" fillId="0" borderId="0" xfId="67" applyNumberFormat="1" applyFont="1" applyBorder="1" applyAlignment="1">
      <alignment horizontal="center"/>
    </xf>
    <xf numFmtId="179" fontId="49" fillId="0" borderId="72" xfId="93" applyFont="1" applyFill="1" applyBorder="1" applyAlignment="1">
      <alignment horizontal="center" vertical="center" wrapText="1"/>
    </xf>
    <xf numFmtId="179" fontId="49" fillId="0" borderId="76" xfId="93" applyFont="1" applyFill="1" applyBorder="1" applyAlignment="1">
      <alignment horizontal="center" vertical="center"/>
    </xf>
    <xf numFmtId="179" fontId="49" fillId="0" borderId="77" xfId="93" applyFont="1" applyFill="1" applyBorder="1" applyAlignment="1">
      <alignment horizontal="center" vertical="center"/>
    </xf>
    <xf numFmtId="9" fontId="46" fillId="0" borderId="39" xfId="74" applyFont="1" applyFill="1" applyBorder="1" applyAlignment="1">
      <alignment horizontal="center" vertical="center"/>
    </xf>
    <xf numFmtId="166" fontId="46" fillId="0" borderId="41" xfId="93" applyNumberFormat="1" applyFont="1" applyBorder="1" applyAlignment="1">
      <alignment horizontal="center" vertical="center"/>
    </xf>
    <xf numFmtId="9" fontId="46" fillId="0" borderId="34" xfId="74" applyFont="1" applyFill="1" applyBorder="1" applyAlignment="1">
      <alignment horizontal="center" vertical="center"/>
    </xf>
    <xf numFmtId="166" fontId="46" fillId="0" borderId="17" xfId="93" applyNumberFormat="1" applyFont="1" applyFill="1" applyBorder="1" applyAlignment="1">
      <alignment horizontal="center" vertical="center"/>
    </xf>
    <xf numFmtId="9" fontId="46" fillId="0" borderId="34" xfId="74" applyFont="1" applyBorder="1" applyAlignment="1">
      <alignment horizontal="center" vertical="center"/>
    </xf>
    <xf numFmtId="9" fontId="46" fillId="0" borderId="35" xfId="74" applyFont="1" applyBorder="1" applyAlignment="1">
      <alignment horizontal="center" vertical="center"/>
    </xf>
    <xf numFmtId="3" fontId="46" fillId="0" borderId="22" xfId="93" applyNumberFormat="1" applyFont="1" applyBorder="1" applyAlignment="1">
      <alignment horizontal="center" vertical="center"/>
    </xf>
    <xf numFmtId="179" fontId="55" fillId="0" borderId="0" xfId="93" applyFont="1" applyBorder="1"/>
    <xf numFmtId="166" fontId="46" fillId="0" borderId="0" xfId="93" applyNumberFormat="1" applyFont="1" applyFill="1" applyBorder="1" applyAlignment="1">
      <alignment horizontal="center" vertical="center"/>
    </xf>
    <xf numFmtId="166" fontId="46" fillId="0" borderId="0" xfId="93" applyNumberFormat="1" applyFont="1" applyBorder="1" applyAlignment="1">
      <alignment horizontal="center" vertical="center"/>
    </xf>
    <xf numFmtId="180" fontId="46" fillId="0" borderId="17" xfId="93" applyNumberFormat="1" applyFont="1" applyFill="1" applyBorder="1" applyAlignment="1">
      <alignment horizontal="center" vertical="center"/>
    </xf>
    <xf numFmtId="167" fontId="46" fillId="0" borderId="0" xfId="67" applyNumberFormat="1" applyFont="1" applyBorder="1" applyAlignment="1">
      <alignment horizontal="center" vertical="top" wrapText="1"/>
    </xf>
    <xf numFmtId="180" fontId="46" fillId="0" borderId="15" xfId="93" applyNumberFormat="1" applyFont="1" applyFill="1" applyBorder="1" applyAlignment="1">
      <alignment horizontal="center" vertical="center"/>
    </xf>
    <xf numFmtId="11" fontId="46" fillId="0" borderId="40" xfId="117" applyNumberFormat="1" applyFont="1" applyBorder="1" applyAlignment="1">
      <alignment horizontal="center" wrapText="1"/>
    </xf>
    <xf numFmtId="167" fontId="46" fillId="0" borderId="40" xfId="117" applyNumberFormat="1" applyFont="1" applyBorder="1" applyAlignment="1">
      <alignment horizontal="center" vertical="center"/>
    </xf>
    <xf numFmtId="11" fontId="46" fillId="0" borderId="41" xfId="117" applyNumberFormat="1" applyFont="1" applyBorder="1" applyAlignment="1">
      <alignment horizontal="center" wrapText="1"/>
    </xf>
    <xf numFmtId="11" fontId="46" fillId="0" borderId="17" xfId="117" applyNumberFormat="1" applyFont="1" applyBorder="1" applyAlignment="1">
      <alignment horizontal="center" wrapText="1"/>
    </xf>
    <xf numFmtId="11" fontId="46" fillId="0" borderId="22" xfId="117" applyNumberFormat="1" applyFont="1" applyBorder="1" applyAlignment="1">
      <alignment horizontal="center" wrapText="1"/>
    </xf>
    <xf numFmtId="179" fontId="73" fillId="0" borderId="0" xfId="93" applyFont="1" applyFill="1" applyBorder="1" applyAlignment="1">
      <alignment horizontal="center" vertical="center"/>
    </xf>
    <xf numFmtId="3" fontId="73" fillId="0" borderId="0" xfId="115" quotePrefix="1" applyNumberFormat="1" applyFont="1" applyFill="1" applyBorder="1" applyAlignment="1">
      <alignment horizontal="center"/>
    </xf>
    <xf numFmtId="0" fontId="74" fillId="35" borderId="54" xfId="115" applyNumberFormat="1" applyFont="1" applyFill="1" applyBorder="1" applyAlignment="1">
      <alignment horizontal="center" vertical="center" wrapText="1"/>
    </xf>
    <xf numFmtId="0" fontId="74" fillId="0" borderId="7" xfId="115" applyNumberFormat="1" applyFont="1" applyFill="1" applyBorder="1" applyAlignment="1">
      <alignment horizontal="center" vertical="center" wrapText="1"/>
    </xf>
    <xf numFmtId="166" fontId="46" fillId="0" borderId="17" xfId="0" applyNumberFormat="1" applyFont="1" applyFill="1" applyBorder="1" applyAlignment="1">
      <alignment horizontal="center"/>
    </xf>
    <xf numFmtId="167" fontId="46" fillId="0" borderId="15" xfId="0" quotePrefix="1" applyNumberFormat="1" applyFont="1" applyFill="1" applyBorder="1" applyAlignment="1">
      <alignment horizontal="center"/>
    </xf>
    <xf numFmtId="11" fontId="46" fillId="0" borderId="17" xfId="67" applyNumberFormat="1" applyFont="1" applyFill="1" applyBorder="1" applyAlignment="1">
      <alignment horizontal="center"/>
    </xf>
    <xf numFmtId="166" fontId="46" fillId="0" borderId="17" xfId="0" applyNumberFormat="1" applyFont="1" applyBorder="1" applyAlignment="1">
      <alignment horizontal="center"/>
    </xf>
    <xf numFmtId="11" fontId="46" fillId="0" borderId="6" xfId="67" quotePrefix="1" applyNumberFormat="1" applyFont="1" applyBorder="1" applyAlignment="1">
      <alignment horizontal="center" vertical="top" wrapText="1"/>
    </xf>
    <xf numFmtId="0" fontId="77" fillId="0" borderId="0" xfId="113" applyFont="1" applyFill="1"/>
    <xf numFmtId="0" fontId="77" fillId="0" borderId="7" xfId="113" applyFont="1" applyFill="1" applyBorder="1" applyAlignment="1">
      <alignment horizontal="center"/>
    </xf>
    <xf numFmtId="180" fontId="77" fillId="0" borderId="7" xfId="113" applyNumberFormat="1" applyFont="1" applyFill="1" applyBorder="1" applyAlignment="1">
      <alignment horizontal="center"/>
    </xf>
    <xf numFmtId="179" fontId="49" fillId="0" borderId="34" xfId="93" applyFont="1" applyFill="1" applyBorder="1" applyAlignment="1">
      <alignment horizontal="center" vertical="center" wrapText="1"/>
    </xf>
    <xf numFmtId="3" fontId="46" fillId="0" borderId="40" xfId="93" applyNumberFormat="1" applyFont="1" applyFill="1" applyBorder="1" applyAlignment="1">
      <alignment horizontal="center" vertical="center"/>
    </xf>
    <xf numFmtId="0" fontId="39" fillId="0" borderId="0" xfId="117" applyFont="1" applyFill="1" applyBorder="1" applyAlignment="1">
      <alignment horizontal="center"/>
    </xf>
    <xf numFmtId="0" fontId="39" fillId="0" borderId="28" xfId="117" applyFont="1" applyFill="1" applyBorder="1" applyAlignment="1">
      <alignment horizontal="center"/>
    </xf>
    <xf numFmtId="0" fontId="39" fillId="0" borderId="29" xfId="117" applyFont="1" applyFill="1" applyBorder="1" applyAlignment="1">
      <alignment horizontal="center"/>
    </xf>
    <xf numFmtId="2" fontId="46" fillId="0" borderId="21" xfId="0" applyNumberFormat="1" applyFont="1" applyFill="1" applyBorder="1" applyAlignment="1">
      <alignment horizontal="center"/>
    </xf>
    <xf numFmtId="179" fontId="49" fillId="0" borderId="74" xfId="93" applyFont="1" applyBorder="1" applyAlignment="1">
      <alignment vertical="center"/>
    </xf>
    <xf numFmtId="179" fontId="49" fillId="0" borderId="75" xfId="93" applyFont="1" applyBorder="1" applyAlignment="1">
      <alignment vertical="center"/>
    </xf>
    <xf numFmtId="0" fontId="49" fillId="0" borderId="0" xfId="117" applyFont="1"/>
    <xf numFmtId="165" fontId="73" fillId="0" borderId="7" xfId="93" applyNumberFormat="1" applyFont="1" applyFill="1" applyBorder="1" applyAlignment="1">
      <alignment horizontal="center" vertical="center"/>
    </xf>
    <xf numFmtId="11" fontId="46" fillId="0" borderId="17" xfId="93" applyNumberFormat="1" applyFont="1" applyFill="1" applyBorder="1" applyAlignment="1">
      <alignment horizontal="center" vertical="center"/>
    </xf>
    <xf numFmtId="3" fontId="73" fillId="0" borderId="0" xfId="173" quotePrefix="1" applyNumberFormat="1" applyFont="1" applyFill="1" applyBorder="1" applyAlignment="1">
      <alignment horizontal="center"/>
    </xf>
    <xf numFmtId="167" fontId="73" fillId="0" borderId="0" xfId="173" quotePrefix="1" applyNumberFormat="1" applyFont="1" applyFill="1" applyBorder="1" applyAlignment="1">
      <alignment horizontal="center"/>
    </xf>
    <xf numFmtId="3" fontId="73" fillId="0" borderId="0" xfId="173" applyNumberFormat="1" applyFont="1" applyFill="1" applyBorder="1" applyAlignment="1">
      <alignment horizontal="center"/>
    </xf>
    <xf numFmtId="0" fontId="43" fillId="0" borderId="31" xfId="67" applyFont="1" applyBorder="1" applyAlignment="1">
      <alignment horizontal="center" vertical="center" wrapText="1"/>
    </xf>
    <xf numFmtId="2" fontId="46" fillId="0" borderId="80" xfId="93" applyNumberFormat="1" applyFont="1" applyBorder="1" applyAlignment="1">
      <alignment horizontal="center" vertical="center"/>
    </xf>
    <xf numFmtId="11" fontId="46" fillId="0" borderId="80" xfId="93" applyNumberFormat="1" applyFont="1" applyBorder="1" applyAlignment="1">
      <alignment horizontal="center" vertical="center"/>
    </xf>
    <xf numFmtId="179" fontId="49" fillId="0" borderId="13" xfId="93" applyFont="1" applyFill="1" applyBorder="1" applyAlignment="1">
      <alignment vertical="center"/>
    </xf>
    <xf numFmtId="1" fontId="49" fillId="0" borderId="13" xfId="93" applyNumberFormat="1" applyFont="1" applyFill="1" applyBorder="1" applyAlignment="1">
      <alignment horizontal="center" vertical="center"/>
    </xf>
    <xf numFmtId="167" fontId="46" fillId="0" borderId="13" xfId="93" applyNumberFormat="1" applyFont="1" applyFill="1" applyBorder="1" applyAlignment="1">
      <alignment horizontal="center" vertical="center"/>
    </xf>
    <xf numFmtId="2" fontId="46" fillId="0" borderId="13" xfId="93" applyNumberFormat="1" applyFont="1" applyFill="1" applyBorder="1" applyAlignment="1">
      <alignment horizontal="center" vertical="center"/>
    </xf>
    <xf numFmtId="11" fontId="46" fillId="0" borderId="13" xfId="93" applyNumberFormat="1" applyFont="1" applyFill="1" applyBorder="1" applyAlignment="1">
      <alignment horizontal="center" vertical="center"/>
    </xf>
    <xf numFmtId="3" fontId="73" fillId="0" borderId="7" xfId="115" applyNumberFormat="1" applyFont="1" applyFill="1" applyBorder="1" applyAlignment="1">
      <alignment horizontal="center" vertical="center"/>
    </xf>
    <xf numFmtId="3" fontId="74" fillId="0" borderId="0" xfId="173" applyNumberFormat="1" applyFont="1" applyFill="1" applyBorder="1" applyAlignment="1">
      <alignment horizontal="center"/>
    </xf>
    <xf numFmtId="180" fontId="74" fillId="0" borderId="0" xfId="173" applyNumberFormat="1" applyFont="1" applyFill="1" applyBorder="1" applyAlignment="1">
      <alignment horizontal="center"/>
    </xf>
    <xf numFmtId="2" fontId="73" fillId="0" borderId="7" xfId="115" applyNumberFormat="1" applyFont="1" applyFill="1" applyBorder="1" applyAlignment="1">
      <alignment horizontal="center" vertical="center"/>
    </xf>
    <xf numFmtId="2" fontId="73" fillId="0" borderId="7" xfId="115" applyNumberFormat="1" applyFont="1" applyFill="1" applyBorder="1" applyAlignment="1">
      <alignment horizontal="center" vertical="center" wrapText="1"/>
    </xf>
    <xf numFmtId="166" fontId="73" fillId="0" borderId="7" xfId="115" applyNumberFormat="1" applyFont="1" applyFill="1" applyBorder="1" applyAlignment="1">
      <alignment horizontal="center" vertical="center"/>
    </xf>
    <xf numFmtId="1" fontId="73" fillId="0" borderId="7" xfId="115" applyNumberFormat="1" applyFont="1" applyFill="1" applyBorder="1" applyAlignment="1">
      <alignment horizontal="center" vertical="center"/>
    </xf>
    <xf numFmtId="167" fontId="73" fillId="0" borderId="7" xfId="115" applyNumberFormat="1" applyFont="1" applyFill="1" applyBorder="1" applyAlignment="1">
      <alignment horizontal="center" vertical="center"/>
    </xf>
    <xf numFmtId="3" fontId="73" fillId="0" borderId="0" xfId="115" quotePrefix="1" applyNumberFormat="1" applyFont="1" applyFill="1" applyBorder="1" applyAlignment="1">
      <alignment horizontal="center" vertical="center"/>
    </xf>
    <xf numFmtId="0" fontId="73" fillId="0" borderId="0" xfId="173" applyNumberFormat="1" applyFont="1" applyFill="1" applyBorder="1" applyAlignment="1">
      <alignment horizontal="center" vertical="center"/>
    </xf>
    <xf numFmtId="0" fontId="74" fillId="35" borderId="7" xfId="115" applyNumberFormat="1" applyFont="1" applyFill="1" applyBorder="1" applyAlignment="1">
      <alignment horizontal="center" vertical="center" wrapText="1"/>
    </xf>
    <xf numFmtId="166" fontId="73" fillId="0" borderId="0" xfId="173" quotePrefix="1" applyNumberFormat="1" applyFont="1" applyFill="1" applyBorder="1" applyAlignment="1">
      <alignment horizontal="center"/>
    </xf>
    <xf numFmtId="167" fontId="73" fillId="36" borderId="7" xfId="115" applyNumberFormat="1" applyFont="1" applyFill="1" applyBorder="1" applyAlignment="1">
      <alignment horizontal="center" vertical="center"/>
    </xf>
    <xf numFmtId="179" fontId="73" fillId="36" borderId="7" xfId="93" applyFont="1" applyFill="1" applyBorder="1" applyAlignment="1">
      <alignment horizontal="center" vertical="center"/>
    </xf>
    <xf numFmtId="179" fontId="73" fillId="36" borderId="54" xfId="93" applyFont="1" applyFill="1" applyBorder="1" applyAlignment="1">
      <alignment horizontal="center" vertical="center"/>
    </xf>
    <xf numFmtId="0" fontId="73" fillId="36" borderId="54" xfId="115" applyNumberFormat="1" applyFont="1" applyFill="1" applyBorder="1" applyAlignment="1">
      <alignment horizontal="center" vertical="center" wrapText="1"/>
    </xf>
    <xf numFmtId="1" fontId="73" fillId="0" borderId="7" xfId="115" quotePrefix="1" applyNumberFormat="1" applyFont="1" applyFill="1" applyBorder="1" applyAlignment="1">
      <alignment horizontal="center" vertical="center"/>
    </xf>
    <xf numFmtId="0" fontId="44" fillId="0" borderId="20" xfId="67" applyFont="1" applyBorder="1" applyAlignment="1">
      <alignment horizontal="center" vertical="center" wrapText="1"/>
    </xf>
    <xf numFmtId="166" fontId="44" fillId="0" borderId="20" xfId="67" applyNumberFormat="1" applyFont="1" applyFill="1" applyBorder="1" applyAlignment="1">
      <alignment horizontal="center" vertical="center" wrapText="1"/>
    </xf>
    <xf numFmtId="0" fontId="44" fillId="0" borderId="0" xfId="67" applyFont="1" applyBorder="1" applyAlignment="1">
      <alignment horizontal="center" vertical="center" wrapText="1"/>
    </xf>
    <xf numFmtId="166" fontId="44" fillId="0" borderId="0" xfId="67" applyNumberFormat="1" applyFont="1" applyFill="1" applyBorder="1" applyAlignment="1">
      <alignment horizontal="center" vertical="center" wrapText="1"/>
    </xf>
    <xf numFmtId="2" fontId="44" fillId="0" borderId="0" xfId="67" quotePrefix="1" applyNumberFormat="1" applyFont="1" applyFill="1" applyBorder="1" applyAlignment="1">
      <alignment horizontal="center" vertical="center" wrapText="1"/>
    </xf>
    <xf numFmtId="2" fontId="44" fillId="0" borderId="0" xfId="67" applyNumberFormat="1" applyFont="1" applyFill="1" applyBorder="1" applyAlignment="1">
      <alignment horizontal="center" vertical="center" wrapText="1"/>
    </xf>
    <xf numFmtId="164" fontId="44" fillId="0" borderId="0" xfId="67" applyNumberFormat="1" applyFont="1" applyFill="1" applyBorder="1" applyAlignment="1">
      <alignment horizontal="center" vertical="center" wrapText="1"/>
    </xf>
    <xf numFmtId="0" fontId="44" fillId="0" borderId="6" xfId="67" applyFont="1" applyBorder="1" applyAlignment="1">
      <alignment horizontal="center" vertical="center" wrapText="1"/>
    </xf>
    <xf numFmtId="166" fontId="44" fillId="0" borderId="6" xfId="67" applyNumberFormat="1" applyFont="1" applyFill="1" applyBorder="1" applyAlignment="1">
      <alignment horizontal="center" vertical="center" wrapText="1"/>
    </xf>
    <xf numFmtId="2" fontId="44" fillId="0" borderId="6" xfId="67" quotePrefix="1" applyNumberFormat="1" applyFont="1" applyFill="1" applyBorder="1" applyAlignment="1">
      <alignment horizontal="center" vertical="center" wrapText="1"/>
    </xf>
    <xf numFmtId="180" fontId="46" fillId="0" borderId="6" xfId="0" applyNumberFormat="1" applyFont="1" applyFill="1" applyBorder="1" applyAlignment="1">
      <alignment horizontal="center" vertical="center"/>
    </xf>
    <xf numFmtId="164" fontId="46" fillId="0" borderId="68" xfId="117" applyNumberFormat="1" applyFont="1" applyBorder="1" applyAlignment="1">
      <alignment horizontal="center"/>
    </xf>
    <xf numFmtId="2" fontId="46" fillId="0" borderId="15" xfId="117" applyNumberFormat="1" applyFont="1" applyBorder="1" applyAlignment="1">
      <alignment horizontal="center" vertical="center"/>
    </xf>
    <xf numFmtId="4" fontId="46" fillId="0" borderId="15" xfId="117" applyNumberFormat="1" applyFont="1" applyBorder="1" applyAlignment="1">
      <alignment horizontal="center" vertical="center"/>
    </xf>
    <xf numFmtId="165" fontId="46" fillId="0" borderId="15" xfId="93" applyNumberFormat="1" applyFont="1" applyFill="1" applyBorder="1" applyAlignment="1">
      <alignment horizontal="center" vertical="center"/>
    </xf>
    <xf numFmtId="2" fontId="46" fillId="0" borderId="15" xfId="93" applyNumberFormat="1" applyFont="1" applyBorder="1" applyAlignment="1">
      <alignment horizontal="center" vertical="center"/>
    </xf>
    <xf numFmtId="3" fontId="46" fillId="0" borderId="0" xfId="0" applyNumberFormat="1" applyFont="1" applyBorder="1" applyAlignment="1">
      <alignment horizontal="center" vertical="center"/>
    </xf>
    <xf numFmtId="164" fontId="46" fillId="0" borderId="0" xfId="0" applyNumberFormat="1" applyFont="1" applyBorder="1" applyAlignment="1">
      <alignment horizontal="center" vertical="center"/>
    </xf>
    <xf numFmtId="3" fontId="46" fillId="0" borderId="0" xfId="93" applyNumberFormat="1" applyFont="1" applyFill="1" applyBorder="1" applyAlignment="1">
      <alignment horizontal="center" vertical="center"/>
    </xf>
    <xf numFmtId="4" fontId="46" fillId="0" borderId="0" xfId="93" applyNumberFormat="1" applyFont="1" applyFill="1" applyBorder="1" applyAlignment="1">
      <alignment horizontal="center" vertical="center"/>
    </xf>
    <xf numFmtId="165" fontId="46" fillId="0" borderId="0" xfId="93" applyNumberFormat="1" applyFont="1" applyFill="1" applyBorder="1" applyAlignment="1">
      <alignment horizontal="center" vertical="center"/>
    </xf>
    <xf numFmtId="2" fontId="46" fillId="0" borderId="0" xfId="93" applyNumberFormat="1" applyFont="1" applyBorder="1" applyAlignment="1">
      <alignment horizontal="center" vertical="center"/>
    </xf>
    <xf numFmtId="3" fontId="46" fillId="0" borderId="0" xfId="93" applyNumberFormat="1" applyFont="1" applyBorder="1" applyAlignment="1">
      <alignment horizontal="center" vertical="center"/>
    </xf>
    <xf numFmtId="179" fontId="46" fillId="0" borderId="0" xfId="93" applyFont="1" applyBorder="1"/>
    <xf numFmtId="164" fontId="46" fillId="0" borderId="0" xfId="93" applyNumberFormat="1" applyFont="1" applyBorder="1" applyAlignment="1">
      <alignment horizontal="center" vertical="center"/>
    </xf>
    <xf numFmtId="11" fontId="46" fillId="0" borderId="15" xfId="220" applyNumberFormat="1" applyFont="1" applyBorder="1" applyAlignment="1">
      <alignment horizontal="center"/>
    </xf>
    <xf numFmtId="2" fontId="39" fillId="0" borderId="0" xfId="67" applyNumberFormat="1" applyFont="1" applyFill="1" applyBorder="1" applyAlignment="1">
      <alignment horizontal="center"/>
    </xf>
    <xf numFmtId="2" fontId="39" fillId="0" borderId="29" xfId="67" applyNumberFormat="1" applyFont="1" applyFill="1" applyBorder="1" applyAlignment="1">
      <alignment horizontal="center"/>
    </xf>
    <xf numFmtId="2" fontId="39" fillId="0" borderId="4" xfId="67" applyNumberFormat="1" applyFont="1" applyBorder="1" applyAlignment="1"/>
    <xf numFmtId="2" fontId="39" fillId="0" borderId="0" xfId="67" applyNumberFormat="1" applyFont="1" applyBorder="1" applyAlignment="1">
      <alignment horizontal="center"/>
    </xf>
    <xf numFmtId="2" fontId="39" fillId="0" borderId="30" xfId="67" applyNumberFormat="1" applyFont="1" applyBorder="1" applyAlignment="1">
      <alignment horizontal="center"/>
    </xf>
    <xf numFmtId="2" fontId="73" fillId="0" borderId="0" xfId="173" quotePrefix="1" applyNumberFormat="1" applyFont="1" applyFill="1" applyBorder="1" applyAlignment="1">
      <alignment horizontal="center"/>
    </xf>
    <xf numFmtId="0" fontId="74" fillId="0" borderId="0" xfId="173" applyNumberFormat="1" applyFont="1" applyFill="1" applyBorder="1" applyAlignment="1">
      <alignment horizontal="left"/>
    </xf>
    <xf numFmtId="0" fontId="86" fillId="0" borderId="0" xfId="173" applyNumberFormat="1" applyFont="1" applyFill="1" applyBorder="1" applyAlignment="1">
      <alignment horizontal="center"/>
    </xf>
    <xf numFmtId="173" fontId="73" fillId="0" borderId="0" xfId="173" applyNumberFormat="1" applyFont="1" applyFill="1" applyBorder="1" applyAlignment="1">
      <alignment horizontal="center"/>
    </xf>
    <xf numFmtId="1" fontId="73" fillId="0" borderId="30" xfId="173" applyNumberFormat="1" applyFont="1" applyFill="1" applyBorder="1" applyAlignment="1">
      <alignment horizontal="center"/>
    </xf>
    <xf numFmtId="0" fontId="74" fillId="0" borderId="0" xfId="173" applyNumberFormat="1" applyFont="1" applyFill="1" applyBorder="1" applyAlignment="1">
      <alignment horizontal="center"/>
    </xf>
    <xf numFmtId="2" fontId="74" fillId="0" borderId="0" xfId="173" applyNumberFormat="1" applyFont="1" applyFill="1" applyBorder="1" applyAlignment="1">
      <alignment horizontal="center"/>
    </xf>
    <xf numFmtId="167" fontId="74" fillId="0" borderId="0" xfId="173" applyNumberFormat="1" applyFont="1" applyFill="1" applyBorder="1" applyAlignment="1">
      <alignment horizontal="center"/>
    </xf>
    <xf numFmtId="0" fontId="86" fillId="0" borderId="56" xfId="173" applyNumberFormat="1" applyFont="1" applyFill="1" applyBorder="1" applyAlignment="1">
      <alignment horizontal="center"/>
    </xf>
    <xf numFmtId="180" fontId="46" fillId="0" borderId="40" xfId="67" applyNumberFormat="1" applyFont="1" applyBorder="1" applyAlignment="1">
      <alignment horizontal="center"/>
    </xf>
    <xf numFmtId="180" fontId="73" fillId="0" borderId="7" xfId="115" applyNumberFormat="1" applyFont="1" applyFill="1" applyBorder="1" applyAlignment="1">
      <alignment horizontal="center" vertical="center"/>
    </xf>
    <xf numFmtId="3" fontId="39" fillId="0" borderId="7" xfId="113" applyNumberFormat="1" applyFont="1" applyFill="1" applyBorder="1" applyAlignment="1">
      <alignment horizontal="center"/>
    </xf>
    <xf numFmtId="0" fontId="77" fillId="0" borderId="0" xfId="113" applyFont="1" applyFill="1" applyAlignment="1"/>
    <xf numFmtId="179" fontId="49" fillId="0" borderId="35" xfId="93" applyFont="1" applyFill="1" applyBorder="1" applyAlignment="1">
      <alignment horizontal="center" vertical="center"/>
    </xf>
    <xf numFmtId="4" fontId="46" fillId="0" borderId="17" xfId="93" applyNumberFormat="1" applyFont="1" applyFill="1" applyBorder="1" applyAlignment="1">
      <alignment horizontal="center" vertical="center"/>
    </xf>
    <xf numFmtId="0" fontId="49" fillId="0" borderId="38" xfId="117" applyFont="1" applyBorder="1" applyAlignment="1">
      <alignment horizontal="center" vertical="center" wrapText="1"/>
    </xf>
    <xf numFmtId="167" fontId="46" fillId="0" borderId="34" xfId="117" applyNumberFormat="1" applyFont="1" applyBorder="1" applyAlignment="1">
      <alignment horizontal="center" vertical="center"/>
    </xf>
    <xf numFmtId="171" fontId="46" fillId="0" borderId="17" xfId="0" applyNumberFormat="1" applyFont="1" applyBorder="1" applyAlignment="1">
      <alignment horizontal="center" vertical="center"/>
    </xf>
    <xf numFmtId="167" fontId="46" fillId="0" borderId="35" xfId="117" applyNumberFormat="1" applyFont="1" applyBorder="1" applyAlignment="1">
      <alignment horizontal="center" vertical="center"/>
    </xf>
    <xf numFmtId="171" fontId="46" fillId="0" borderId="22" xfId="0" applyNumberFormat="1" applyFont="1" applyBorder="1" applyAlignment="1">
      <alignment horizontal="center" vertical="center"/>
    </xf>
    <xf numFmtId="0" fontId="49" fillId="0" borderId="39" xfId="117" applyFont="1" applyBorder="1" applyAlignment="1">
      <alignment horizontal="left" vertical="center"/>
    </xf>
    <xf numFmtId="0" fontId="49" fillId="0" borderId="35" xfId="117" applyFont="1" applyBorder="1" applyAlignment="1">
      <alignment horizontal="left" vertical="center"/>
    </xf>
    <xf numFmtId="0" fontId="77" fillId="0" borderId="7" xfId="113" applyFont="1" applyBorder="1" applyAlignment="1"/>
    <xf numFmtId="4" fontId="46" fillId="0" borderId="41" xfId="67" applyNumberFormat="1" applyFont="1" applyBorder="1" applyAlignment="1">
      <alignment horizontal="center"/>
    </xf>
    <xf numFmtId="4" fontId="46" fillId="0" borderId="19" xfId="67" applyNumberFormat="1" applyFont="1" applyBorder="1" applyAlignment="1">
      <alignment horizontal="center"/>
    </xf>
    <xf numFmtId="11" fontId="46" fillId="0" borderId="41" xfId="67" applyNumberFormat="1" applyFont="1" applyBorder="1" applyAlignment="1">
      <alignment horizontal="center"/>
    </xf>
    <xf numFmtId="2" fontId="46" fillId="0" borderId="0" xfId="0" applyNumberFormat="1" applyFont="1" applyAlignment="1">
      <alignment horizontal="center"/>
    </xf>
    <xf numFmtId="2" fontId="46" fillId="0" borderId="0" xfId="0" applyNumberFormat="1" applyFont="1"/>
    <xf numFmtId="4" fontId="46" fillId="0" borderId="0" xfId="0" applyNumberFormat="1" applyFont="1"/>
    <xf numFmtId="164" fontId="46" fillId="0" borderId="42" xfId="0" quotePrefix="1" applyNumberFormat="1" applyFont="1" applyFill="1" applyBorder="1" applyAlignment="1">
      <alignment horizontal="center"/>
    </xf>
    <xf numFmtId="164" fontId="46" fillId="0" borderId="15" xfId="0" quotePrefix="1" applyNumberFormat="1" applyFont="1" applyFill="1" applyBorder="1" applyAlignment="1">
      <alignment horizontal="center"/>
    </xf>
    <xf numFmtId="167" fontId="46" fillId="0" borderId="15" xfId="0" applyNumberFormat="1" applyFont="1" applyFill="1" applyBorder="1" applyAlignment="1">
      <alignment horizontal="center"/>
    </xf>
    <xf numFmtId="0" fontId="46" fillId="0" borderId="53" xfId="0" applyFont="1" applyBorder="1" applyAlignment="1">
      <alignment horizontal="center"/>
    </xf>
    <xf numFmtId="164" fontId="46" fillId="0" borderId="15" xfId="0" applyNumberFormat="1" applyFont="1" applyBorder="1" applyAlignment="1">
      <alignment horizontal="center"/>
    </xf>
    <xf numFmtId="0" fontId="49" fillId="0" borderId="0" xfId="0" applyFont="1" applyAlignment="1"/>
    <xf numFmtId="3" fontId="46" fillId="0" borderId="46" xfId="67" applyNumberFormat="1" applyFont="1" applyFill="1" applyBorder="1" applyAlignment="1">
      <alignment horizontal="center"/>
    </xf>
    <xf numFmtId="3" fontId="46" fillId="0" borderId="17" xfId="67" applyNumberFormat="1" applyFont="1" applyFill="1" applyBorder="1" applyAlignment="1">
      <alignment horizontal="center"/>
    </xf>
    <xf numFmtId="0" fontId="46" fillId="0" borderId="17" xfId="67" applyFont="1" applyFill="1" applyBorder="1" applyAlignment="1">
      <alignment horizontal="center"/>
    </xf>
    <xf numFmtId="0" fontId="46" fillId="0" borderId="42" xfId="67" applyFont="1" applyFill="1" applyBorder="1" applyAlignment="1">
      <alignment horizontal="center"/>
    </xf>
    <xf numFmtId="2" fontId="46" fillId="0" borderId="15" xfId="67" applyNumberFormat="1" applyFont="1" applyFill="1" applyBorder="1" applyAlignment="1">
      <alignment horizontal="center"/>
    </xf>
    <xf numFmtId="0" fontId="46" fillId="0" borderId="15" xfId="67" applyFont="1" applyFill="1" applyBorder="1" applyAlignment="1">
      <alignment horizontal="center"/>
    </xf>
    <xf numFmtId="0" fontId="46" fillId="0" borderId="15" xfId="67" quotePrefix="1" applyFont="1" applyFill="1" applyBorder="1" applyAlignment="1">
      <alignment horizontal="center"/>
    </xf>
    <xf numFmtId="2" fontId="46" fillId="0" borderId="42" xfId="67" applyNumberFormat="1" applyFont="1" applyFill="1" applyBorder="1" applyAlignment="1">
      <alignment horizontal="center"/>
    </xf>
    <xf numFmtId="166" fontId="39" fillId="0" borderId="26" xfId="67" applyNumberFormat="1" applyFont="1" applyFill="1" applyBorder="1" applyAlignment="1">
      <alignment horizontal="center"/>
    </xf>
    <xf numFmtId="166" fontId="73" fillId="0" borderId="0" xfId="173" applyNumberFormat="1" applyFont="1" applyFill="1" applyBorder="1" applyAlignment="1">
      <alignment horizontal="center"/>
    </xf>
    <xf numFmtId="3" fontId="49" fillId="0" borderId="73" xfId="67" applyNumberFormat="1" applyFont="1" applyBorder="1" applyAlignment="1">
      <alignment horizontal="center"/>
    </xf>
    <xf numFmtId="3" fontId="49" fillId="0" borderId="66" xfId="67" applyNumberFormat="1" applyFont="1" applyBorder="1" applyAlignment="1">
      <alignment horizontal="center"/>
    </xf>
    <xf numFmtId="0" fontId="43" fillId="0" borderId="31" xfId="67" applyFont="1" applyBorder="1" applyAlignment="1">
      <alignment horizontal="center" vertical="center" wrapText="1"/>
    </xf>
    <xf numFmtId="0" fontId="46" fillId="0" borderId="6" xfId="67" applyFont="1" applyBorder="1" applyAlignment="1">
      <alignment horizontal="center" vertical="center" wrapText="1"/>
    </xf>
    <xf numFmtId="0" fontId="49" fillId="0" borderId="20" xfId="67" applyFont="1" applyBorder="1" applyAlignment="1">
      <alignment horizontal="center" vertical="center"/>
    </xf>
    <xf numFmtId="0" fontId="49" fillId="0" borderId="0" xfId="67" applyFont="1" applyBorder="1" applyAlignment="1">
      <alignment horizontal="center" vertical="center" wrapText="1"/>
    </xf>
    <xf numFmtId="0" fontId="43" fillId="0" borderId="32" xfId="67" applyFont="1" applyFill="1" applyBorder="1" applyAlignment="1">
      <alignment horizontal="left" vertical="top" wrapText="1"/>
    </xf>
    <xf numFmtId="3" fontId="49" fillId="0" borderId="72" xfId="67" applyNumberFormat="1" applyFont="1" applyBorder="1" applyAlignment="1">
      <alignment horizontal="center"/>
    </xf>
    <xf numFmtId="3" fontId="49" fillId="0" borderId="20" xfId="67" applyNumberFormat="1" applyFont="1" applyBorder="1" applyAlignment="1">
      <alignment horizontal="center"/>
    </xf>
    <xf numFmtId="3" fontId="49" fillId="0" borderId="71" xfId="67" applyNumberFormat="1" applyFont="1" applyBorder="1" applyAlignment="1">
      <alignment horizontal="center"/>
    </xf>
    <xf numFmtId="179" fontId="70" fillId="0" borderId="74" xfId="93" applyFont="1" applyBorder="1" applyAlignment="1">
      <alignment horizontal="center"/>
    </xf>
    <xf numFmtId="179" fontId="70" fillId="0" borderId="75" xfId="93" applyFont="1" applyBorder="1" applyAlignment="1">
      <alignment horizontal="center"/>
    </xf>
    <xf numFmtId="179" fontId="70" fillId="0" borderId="24" xfId="93" applyFont="1" applyBorder="1" applyAlignment="1">
      <alignment horizontal="center"/>
    </xf>
    <xf numFmtId="179" fontId="70" fillId="0" borderId="3" xfId="93" applyFont="1" applyBorder="1" applyAlignment="1">
      <alignment horizontal="center"/>
    </xf>
    <xf numFmtId="179" fontId="70" fillId="0" borderId="47" xfId="93" applyFont="1" applyBorder="1" applyAlignment="1">
      <alignment horizontal="center"/>
    </xf>
    <xf numFmtId="0" fontId="51" fillId="0" borderId="0" xfId="0" quotePrefix="1" applyFont="1" applyAlignment="1">
      <alignment horizontal="left" vertical="center" wrapText="1"/>
    </xf>
    <xf numFmtId="179" fontId="70" fillId="0" borderId="36" xfId="93" applyFont="1" applyFill="1" applyBorder="1" applyAlignment="1">
      <alignment horizontal="center" vertical="center"/>
    </xf>
    <xf numFmtId="179" fontId="70" fillId="0" borderId="38" xfId="93" applyFont="1" applyFill="1" applyBorder="1" applyAlignment="1">
      <alignment horizontal="center" vertical="center"/>
    </xf>
    <xf numFmtId="179" fontId="49" fillId="0" borderId="39" xfId="93" applyFont="1" applyFill="1" applyBorder="1" applyAlignment="1">
      <alignment horizontal="center" vertical="center"/>
    </xf>
    <xf numFmtId="179" fontId="49" fillId="0" borderId="35" xfId="93" applyFont="1" applyFill="1" applyBorder="1" applyAlignment="1">
      <alignment horizontal="center" vertical="center"/>
    </xf>
    <xf numFmtId="179" fontId="49" fillId="0" borderId="40" xfId="93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 wrapText="1"/>
    </xf>
    <xf numFmtId="179" fontId="49" fillId="0" borderId="41" xfId="93" applyFont="1" applyFill="1" applyBorder="1" applyAlignment="1">
      <alignment horizontal="center" vertical="center"/>
    </xf>
    <xf numFmtId="179" fontId="49" fillId="0" borderId="74" xfId="93" applyFont="1" applyBorder="1" applyAlignment="1">
      <alignment horizontal="center" vertical="center"/>
    </xf>
    <xf numFmtId="179" fontId="49" fillId="0" borderId="75" xfId="93" applyFont="1" applyBorder="1" applyAlignment="1">
      <alignment horizontal="center" vertical="center"/>
    </xf>
    <xf numFmtId="0" fontId="39" fillId="0" borderId="0" xfId="67" applyFont="1" applyBorder="1" applyAlignment="1">
      <alignment horizontal="center" vertical="center"/>
    </xf>
    <xf numFmtId="0" fontId="39" fillId="0" borderId="0" xfId="67" applyFont="1" applyBorder="1" applyAlignment="1">
      <alignment horizontal="right"/>
    </xf>
    <xf numFmtId="0" fontId="78" fillId="0" borderId="0" xfId="0" applyFont="1" applyAlignment="1">
      <alignment horizontal="left" vertical="center" wrapText="1"/>
    </xf>
    <xf numFmtId="0" fontId="39" fillId="0" borderId="26" xfId="67" applyFont="1" applyFill="1" applyBorder="1" applyAlignment="1">
      <alignment horizontal="right"/>
    </xf>
    <xf numFmtId="179" fontId="49" fillId="0" borderId="74" xfId="93" applyFont="1" applyBorder="1" applyAlignment="1">
      <alignment horizontal="center"/>
    </xf>
    <xf numFmtId="179" fontId="49" fillId="0" borderId="78" xfId="93" applyFont="1" applyBorder="1" applyAlignment="1">
      <alignment horizontal="center"/>
    </xf>
    <xf numFmtId="179" fontId="49" fillId="0" borderId="75" xfId="93" applyFont="1" applyBorder="1" applyAlignment="1">
      <alignment horizontal="center"/>
    </xf>
    <xf numFmtId="179" fontId="49" fillId="0" borderId="15" xfId="93" applyFont="1" applyBorder="1" applyAlignment="1">
      <alignment horizontal="center"/>
    </xf>
    <xf numFmtId="179" fontId="49" fillId="0" borderId="17" xfId="93" applyFont="1" applyBorder="1" applyAlignment="1">
      <alignment horizontal="center"/>
    </xf>
    <xf numFmtId="0" fontId="51" fillId="0" borderId="20" xfId="67" applyFont="1" applyFill="1" applyBorder="1" applyAlignment="1">
      <alignment horizontal="left" wrapText="1"/>
    </xf>
    <xf numFmtId="0" fontId="51" fillId="0" borderId="0" xfId="67" applyFont="1" applyFill="1" applyBorder="1" applyAlignment="1">
      <alignment horizontal="left" wrapText="1"/>
    </xf>
    <xf numFmtId="0" fontId="46" fillId="0" borderId="0" xfId="0" applyFont="1" applyFill="1" applyAlignment="1">
      <alignment horizontal="left" wrapText="1"/>
    </xf>
    <xf numFmtId="0" fontId="51" fillId="0" borderId="0" xfId="0" quotePrefix="1" applyFont="1" applyAlignment="1">
      <alignment horizontal="left" vertical="center"/>
    </xf>
    <xf numFmtId="0" fontId="51" fillId="0" borderId="20" xfId="117" applyFont="1" applyFill="1" applyBorder="1" applyAlignment="1">
      <alignment horizontal="left" wrapText="1"/>
    </xf>
    <xf numFmtId="0" fontId="51" fillId="0" borderId="0" xfId="117" applyFont="1" applyFill="1" applyBorder="1" applyAlignment="1">
      <alignment horizontal="left" wrapText="1"/>
    </xf>
    <xf numFmtId="9" fontId="46" fillId="0" borderId="41" xfId="74" applyFont="1" applyFill="1" applyBorder="1" applyAlignment="1">
      <alignment horizontal="center" vertical="center"/>
    </xf>
    <xf numFmtId="9" fontId="46" fillId="0" borderId="22" xfId="74" applyFont="1" applyFill="1" applyBorder="1" applyAlignment="1">
      <alignment horizontal="center" vertical="center"/>
    </xf>
    <xf numFmtId="0" fontId="49" fillId="0" borderId="72" xfId="117" applyFont="1" applyBorder="1" applyAlignment="1">
      <alignment horizontal="center" vertical="center"/>
    </xf>
    <xf numFmtId="0" fontId="49" fillId="0" borderId="20" xfId="117" applyFont="1" applyBorder="1" applyAlignment="1">
      <alignment horizontal="center" vertical="center"/>
    </xf>
    <xf numFmtId="0" fontId="49" fillId="0" borderId="79" xfId="117" applyFont="1" applyBorder="1" applyAlignment="1">
      <alignment horizontal="center" vertical="center"/>
    </xf>
    <xf numFmtId="0" fontId="49" fillId="0" borderId="23" xfId="117" applyFont="1" applyBorder="1" applyAlignment="1">
      <alignment horizontal="center" vertical="center"/>
    </xf>
    <xf numFmtId="0" fontId="49" fillId="0" borderId="6" xfId="117" applyFont="1" applyBorder="1" applyAlignment="1">
      <alignment horizontal="center" vertical="center"/>
    </xf>
    <xf numFmtId="0" fontId="49" fillId="0" borderId="14" xfId="117" applyFont="1" applyBorder="1" applyAlignment="1">
      <alignment horizontal="center" vertical="center"/>
    </xf>
    <xf numFmtId="0" fontId="51" fillId="0" borderId="0" xfId="117" applyFont="1" applyBorder="1" applyAlignment="1">
      <alignment horizontal="left" wrapText="1"/>
    </xf>
    <xf numFmtId="0" fontId="49" fillId="0" borderId="70" xfId="117" applyFont="1" applyBorder="1" applyAlignment="1">
      <alignment horizontal="center" vertical="center"/>
    </xf>
    <xf numFmtId="0" fontId="49" fillId="0" borderId="67" xfId="117" applyFont="1" applyBorder="1" applyAlignment="1">
      <alignment horizontal="center" vertical="center"/>
    </xf>
    <xf numFmtId="0" fontId="49" fillId="0" borderId="3" xfId="0" applyFont="1" applyBorder="1" applyAlignment="1">
      <alignment horizontal="center" vertical="center"/>
    </xf>
    <xf numFmtId="0" fontId="74" fillId="0" borderId="56" xfId="173" applyNumberFormat="1" applyFont="1" applyFill="1" applyBorder="1" applyAlignment="1">
      <alignment horizontal="center" vertical="center" wrapText="1"/>
    </xf>
    <xf numFmtId="0" fontId="74" fillId="0" borderId="0" xfId="173" applyNumberFormat="1" applyFont="1" applyFill="1" applyBorder="1" applyAlignment="1">
      <alignment horizontal="center" vertical="center" wrapText="1"/>
    </xf>
    <xf numFmtId="0" fontId="74" fillId="35" borderId="54" xfId="115" applyNumberFormat="1" applyFont="1" applyFill="1" applyBorder="1" applyAlignment="1">
      <alignment horizontal="center" vertical="center"/>
    </xf>
    <xf numFmtId="0" fontId="74" fillId="35" borderId="4" xfId="115" applyNumberFormat="1" applyFont="1" applyFill="1" applyBorder="1" applyAlignment="1">
      <alignment horizontal="center" vertical="center"/>
    </xf>
    <xf numFmtId="0" fontId="74" fillId="35" borderId="55" xfId="115" applyNumberFormat="1" applyFont="1" applyFill="1" applyBorder="1" applyAlignment="1">
      <alignment horizontal="center" vertical="center"/>
    </xf>
    <xf numFmtId="0" fontId="77" fillId="0" borderId="54" xfId="113" applyFont="1" applyBorder="1" applyAlignment="1">
      <alignment horizontal="center"/>
    </xf>
    <xf numFmtId="0" fontId="77" fillId="0" borderId="4" xfId="113" applyFont="1" applyBorder="1" applyAlignment="1">
      <alignment horizontal="center"/>
    </xf>
    <xf numFmtId="0" fontId="77" fillId="0" borderId="55" xfId="113" applyFont="1" applyBorder="1" applyAlignment="1">
      <alignment horizontal="center"/>
    </xf>
    <xf numFmtId="0" fontId="77" fillId="0" borderId="7" xfId="113" applyFont="1" applyBorder="1" applyAlignment="1">
      <alignment horizontal="center"/>
    </xf>
    <xf numFmtId="3" fontId="82" fillId="0" borderId="54" xfId="113" applyNumberFormat="1" applyFont="1" applyFill="1" applyBorder="1" applyAlignment="1">
      <alignment horizontal="center"/>
    </xf>
    <xf numFmtId="3" fontId="82" fillId="0" borderId="55" xfId="113" applyNumberFormat="1" applyFont="1" applyFill="1" applyBorder="1" applyAlignment="1">
      <alignment horizontal="center"/>
    </xf>
  </cellXfs>
  <cellStyles count="221">
    <cellStyle name="_x0013_" xfId="1"/>
    <cellStyle name="_x0013_ 2" xfId="2"/>
    <cellStyle name="_x0013_ 2 2" xfId="197"/>
    <cellStyle name="_x0013_ 3" xfId="196"/>
    <cellStyle name="20% - Accent1" xfId="3" builtinId="30" customBuiltin="1"/>
    <cellStyle name="20% - Accent1 2" xfId="118"/>
    <cellStyle name="20% - Accent2" xfId="4" builtinId="34" customBuiltin="1"/>
    <cellStyle name="20% - Accent2 2" xfId="119"/>
    <cellStyle name="20% - Accent3" xfId="5" builtinId="38" customBuiltin="1"/>
    <cellStyle name="20% - Accent3 2" xfId="120"/>
    <cellStyle name="20% - Accent4" xfId="6" builtinId="42" customBuiltin="1"/>
    <cellStyle name="20% - Accent4 2" xfId="121"/>
    <cellStyle name="20% - Accent5" xfId="7" builtinId="46" customBuiltin="1"/>
    <cellStyle name="20% - Accent5 2" xfId="122"/>
    <cellStyle name="20% - Accent6" xfId="8" builtinId="50" customBuiltin="1"/>
    <cellStyle name="20% - Accent6 2" xfId="123"/>
    <cellStyle name="40% - Accent1" xfId="9" builtinId="31" customBuiltin="1"/>
    <cellStyle name="40% - Accent1 2" xfId="124"/>
    <cellStyle name="40% - Accent2" xfId="10" builtinId="35" customBuiltin="1"/>
    <cellStyle name="40% - Accent2 2" xfId="125"/>
    <cellStyle name="40% - Accent3" xfId="11" builtinId="39" customBuiltin="1"/>
    <cellStyle name="40% - Accent3 2" xfId="126"/>
    <cellStyle name="40% - Accent4" xfId="12" builtinId="43" customBuiltin="1"/>
    <cellStyle name="40% - Accent4 2" xfId="127"/>
    <cellStyle name="40% - Accent5" xfId="13" builtinId="47" customBuiltin="1"/>
    <cellStyle name="40% - Accent5 2" xfId="128"/>
    <cellStyle name="40% - Accent6" xfId="14" builtinId="51" customBuiltin="1"/>
    <cellStyle name="40% - Accent6 2" xfId="129"/>
    <cellStyle name="60% - Accent1" xfId="15" builtinId="32" customBuiltin="1"/>
    <cellStyle name="60% - Accent1 2" xfId="130"/>
    <cellStyle name="60% - Accent2" xfId="16" builtinId="36" customBuiltin="1"/>
    <cellStyle name="60% - Accent2 2" xfId="131"/>
    <cellStyle name="60% - Accent3" xfId="17" builtinId="40" customBuiltin="1"/>
    <cellStyle name="60% - Accent3 2" xfId="132"/>
    <cellStyle name="60% - Accent4" xfId="18" builtinId="44" customBuiltin="1"/>
    <cellStyle name="60% - Accent4 2" xfId="133"/>
    <cellStyle name="60% - Accent5" xfId="19" builtinId="48" customBuiltin="1"/>
    <cellStyle name="60% - Accent5 2" xfId="134"/>
    <cellStyle name="60% - Accent6" xfId="20" builtinId="52" customBuiltin="1"/>
    <cellStyle name="60% - Accent6 2" xfId="135"/>
    <cellStyle name="Accent1" xfId="21" builtinId="29" customBuiltin="1"/>
    <cellStyle name="Accent1 2" xfId="136"/>
    <cellStyle name="Accent2" xfId="22" builtinId="33" customBuiltin="1"/>
    <cellStyle name="Accent2 2" xfId="137"/>
    <cellStyle name="Accent3" xfId="23" builtinId="37" customBuiltin="1"/>
    <cellStyle name="Accent3 2" xfId="138"/>
    <cellStyle name="Accent4" xfId="24" builtinId="41" customBuiltin="1"/>
    <cellStyle name="Accent4 2" xfId="139"/>
    <cellStyle name="Accent5" xfId="25" builtinId="45" customBuiltin="1"/>
    <cellStyle name="Accent5 2" xfId="140"/>
    <cellStyle name="Accent6" xfId="26" builtinId="49" customBuiltin="1"/>
    <cellStyle name="Accent6 2" xfId="141"/>
    <cellStyle name="AlternateCalculation" xfId="94"/>
    <cellStyle name="AlternateCalculation 2" xfId="207"/>
    <cellStyle name="args.style" xfId="27"/>
    <cellStyle name="Bad" xfId="28" builtinId="27" customBuiltin="1"/>
    <cellStyle name="Bad 2" xfId="142"/>
    <cellStyle name="Calc Currency (0)" xfId="29"/>
    <cellStyle name="Calc Currency (0) 2" xfId="143"/>
    <cellStyle name="Calculation" xfId="30" builtinId="22" customBuiltin="1"/>
    <cellStyle name="Calculation 2" xfId="95"/>
    <cellStyle name="Calculation 2 2" xfId="144"/>
    <cellStyle name="Calculation 3" xfId="208"/>
    <cellStyle name="Check Cell" xfId="31" builtinId="23" customBuiltin="1"/>
    <cellStyle name="Check Cell 2" xfId="145"/>
    <cellStyle name="Comma" xfId="220" builtinId="3"/>
    <cellStyle name="Comma [0] 2" xfId="96"/>
    <cellStyle name="Comma 2" xfId="32"/>
    <cellStyle name="Comma 2 2" xfId="198"/>
    <cellStyle name="Comma 3" xfId="112"/>
    <cellStyle name="Comma 4" xfId="114"/>
    <cellStyle name="Comma 4 2" xfId="199"/>
    <cellStyle name="Comma0" xfId="33"/>
    <cellStyle name="Comma0 2" xfId="165"/>
    <cellStyle name="Console Message" xfId="97"/>
    <cellStyle name="Console Message 2" xfId="209"/>
    <cellStyle name="Copied" xfId="34"/>
    <cellStyle name="Currency 2" xfId="35"/>
    <cellStyle name="Currency 2 2" xfId="200"/>
    <cellStyle name="Currency0" xfId="36"/>
    <cellStyle name="Currency0 2" xfId="164"/>
    <cellStyle name="DataLookup" xfId="98"/>
    <cellStyle name="DataLookup 2" xfId="99"/>
    <cellStyle name="Date" xfId="37"/>
    <cellStyle name="Date 2" xfId="163"/>
    <cellStyle name="Entered" xfId="38"/>
    <cellStyle name="Euro" xfId="39"/>
    <cellStyle name="Euro 2" xfId="40"/>
    <cellStyle name="Euro 2 2" xfId="201"/>
    <cellStyle name="Explanatory Text" xfId="41" builtinId="53" customBuiltin="1"/>
    <cellStyle name="Explanatory Text 2" xfId="146"/>
    <cellStyle name="F2" xfId="42"/>
    <cellStyle name="F3" xfId="43"/>
    <cellStyle name="F4" xfId="44"/>
    <cellStyle name="F5" xfId="45"/>
    <cellStyle name="F6" xfId="46"/>
    <cellStyle name="F7" xfId="47"/>
    <cellStyle name="F8" xfId="48"/>
    <cellStyle name="Fixed" xfId="49"/>
    <cellStyle name="Fixed 2" xfId="176"/>
    <cellStyle name="Good" xfId="50" builtinId="26" customBuiltin="1"/>
    <cellStyle name="Good 2" xfId="147"/>
    <cellStyle name="GrayedOut" xfId="100"/>
    <cellStyle name="GrayedOut 2" xfId="210"/>
    <cellStyle name="Grey" xfId="51"/>
    <cellStyle name="Grey 2" xfId="52"/>
    <cellStyle name="GT Heading" xfId="101"/>
    <cellStyle name="GT Heading 2" xfId="211"/>
    <cellStyle name="HardWiredNumber" xfId="102"/>
    <cellStyle name="HardWiredNumber 2" xfId="103"/>
    <cellStyle name="HardWiredNumber 2 2" xfId="212"/>
    <cellStyle name="HardWiredNumber 3" xfId="213"/>
    <cellStyle name="Header1" xfId="53"/>
    <cellStyle name="Header2" xfId="54"/>
    <cellStyle name="Heading 1" xfId="55" builtinId="16" customBuiltin="1"/>
    <cellStyle name="Heading 1 2" xfId="148"/>
    <cellStyle name="Heading 2" xfId="56" builtinId="17" customBuiltin="1"/>
    <cellStyle name="Heading 2 2" xfId="149"/>
    <cellStyle name="Heading 3" xfId="57" builtinId="18" customBuiltin="1"/>
    <cellStyle name="Heading 3 2" xfId="150"/>
    <cellStyle name="Heading 4" xfId="58" builtinId="19" customBuiltin="1"/>
    <cellStyle name="Heading 4 2" xfId="151"/>
    <cellStyle name="Heading1" xfId="104"/>
    <cellStyle name="Heading1 2" xfId="214"/>
    <cellStyle name="HEADINGS" xfId="59"/>
    <cellStyle name="HEADINGSTOP" xfId="60"/>
    <cellStyle name="Hyperlink 2" xfId="215"/>
    <cellStyle name="Input" xfId="61" builtinId="20" customBuiltin="1"/>
    <cellStyle name="Input [yellow]" xfId="62"/>
    <cellStyle name="Input [yellow] 2" xfId="63"/>
    <cellStyle name="Input 10" xfId="181"/>
    <cellStyle name="Input 11" xfId="168"/>
    <cellStyle name="Input 12" xfId="180"/>
    <cellStyle name="Input 13" xfId="169"/>
    <cellStyle name="Input 14" xfId="182"/>
    <cellStyle name="Input 15" xfId="166"/>
    <cellStyle name="Input 16" xfId="183"/>
    <cellStyle name="Input 17" xfId="167"/>
    <cellStyle name="Input 2" xfId="152"/>
    <cellStyle name="Input 3" xfId="175"/>
    <cellStyle name="Input 4" xfId="177"/>
    <cellStyle name="Input 5" xfId="170"/>
    <cellStyle name="Input 6" xfId="178"/>
    <cellStyle name="Input 7" xfId="171"/>
    <cellStyle name="Input 8" xfId="179"/>
    <cellStyle name="Input 9" xfId="172"/>
    <cellStyle name="Input From Control" xfId="105"/>
    <cellStyle name="Input From Control 2" xfId="216"/>
    <cellStyle name="Linked Cell" xfId="64" builtinId="24" customBuiltin="1"/>
    <cellStyle name="Linked Cell 2" xfId="153"/>
    <cellStyle name="Neutral" xfId="65" builtinId="28" customBuiltin="1"/>
    <cellStyle name="Neutral 2" xfId="154"/>
    <cellStyle name="Normal" xfId="0" builtinId="0"/>
    <cellStyle name="Normal - Style1" xfId="66"/>
    <cellStyle name="Normal - Style1 2" xfId="155"/>
    <cellStyle name="Normal 10" xfId="173"/>
    <cellStyle name="Normal 11" xfId="189"/>
    <cellStyle name="Normal 12" xfId="191"/>
    <cellStyle name="Normal 13" xfId="192"/>
    <cellStyle name="Normal 14" xfId="190"/>
    <cellStyle name="Normal 15" xfId="193"/>
    <cellStyle name="Normal 16" xfId="194"/>
    <cellStyle name="Normal 17" xfId="195"/>
    <cellStyle name="Normal 18" xfId="116"/>
    <cellStyle name="Normal 2" xfId="67"/>
    <cellStyle name="Normal 2 2" xfId="68"/>
    <cellStyle name="Normal 2 2 2" xfId="106"/>
    <cellStyle name="Normal 2 2 2 2" xfId="202"/>
    <cellStyle name="Normal 2 2 3" xfId="217"/>
    <cellStyle name="Normal 2 3" xfId="93"/>
    <cellStyle name="Normal 2 4" xfId="117"/>
    <cellStyle name="Normal 3" xfId="69"/>
    <cellStyle name="Normal 3 2" xfId="107"/>
    <cellStyle name="Normal 3 2 2" xfId="218"/>
    <cellStyle name="Normal 3 3" xfId="162"/>
    <cellStyle name="Normal 4" xfId="70"/>
    <cellStyle name="Normal 4 2" xfId="174"/>
    <cellStyle name="Normal 5" xfId="113"/>
    <cellStyle name="Normal 5 2" xfId="184"/>
    <cellStyle name="Normal 6" xfId="115"/>
    <cellStyle name="Normal 7" xfId="185"/>
    <cellStyle name="Normal 8" xfId="186"/>
    <cellStyle name="Normal 9" xfId="187"/>
    <cellStyle name="Note" xfId="71" builtinId="10" customBuiltin="1"/>
    <cellStyle name="Note 2" xfId="156"/>
    <cellStyle name="Output" xfId="72" builtinId="21" customBuiltin="1"/>
    <cellStyle name="Output 2" xfId="157"/>
    <cellStyle name="per.style" xfId="73"/>
    <cellStyle name="Percent" xfId="74" builtinId="5"/>
    <cellStyle name="Percent [2]" xfId="75"/>
    <cellStyle name="Percent [2] 2" xfId="76"/>
    <cellStyle name="Percent [2] 2 2" xfId="203"/>
    <cellStyle name="Percent [2] 3" xfId="158"/>
    <cellStyle name="Percent 2" xfId="77"/>
    <cellStyle name="Percent 2 2" xfId="204"/>
    <cellStyle name="Percent 3" xfId="78"/>
    <cellStyle name="Percent 3 2" xfId="205"/>
    <cellStyle name="Percent 4" xfId="206"/>
    <cellStyle name="PSChar" xfId="79"/>
    <cellStyle name="PSDate" xfId="80"/>
    <cellStyle name="PSDec" xfId="81"/>
    <cellStyle name="PSHeading" xfId="82"/>
    <cellStyle name="PSInt" xfId="83"/>
    <cellStyle name="PSSpacer" xfId="84"/>
    <cellStyle name="regstoresfromspecstores" xfId="85"/>
    <cellStyle name="RevList" xfId="86"/>
    <cellStyle name="SHADEDSTORES" xfId="87"/>
    <cellStyle name="specstores" xfId="88"/>
    <cellStyle name="Stack Heading" xfId="108"/>
    <cellStyle name="Stack Heading 2" xfId="219"/>
    <cellStyle name="Style 1" xfId="109"/>
    <cellStyle name="Subtotal" xfId="89"/>
    <cellStyle name="Title" xfId="90" builtinId="15" customBuiltin="1"/>
    <cellStyle name="Title 2" xfId="159"/>
    <cellStyle name="Total" xfId="91" builtinId="25" customBuiltin="1"/>
    <cellStyle name="Total 2" xfId="160"/>
    <cellStyle name="Total 3" xfId="188"/>
    <cellStyle name="UserInput" xfId="110"/>
    <cellStyle name="UserInput 2" xfId="111"/>
    <cellStyle name="Warning Text" xfId="92" builtinId="11" customBuiltin="1"/>
    <cellStyle name="Warning Text 2" xfId="161"/>
  </cellStyles>
  <dxfs count="11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Colonial%20Pipeline\Emission%20Statements\2007%20ES\Woodbury%202007%20ES\FINAL%20ES%20SUBMITTAL\Woodbury%202007%20Emission%20estimates%202.6.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mit Comparison"/>
      <sheetName val="12 OP 07"/>
      <sheetName val="12 EM ST 07"/>
      <sheetName val="Tanks 4.09 Results 07"/>
      <sheetName val="LL updated"/>
      <sheetName val="LL original"/>
      <sheetName val="HAPs (Adjusted + LL)"/>
      <sheetName val="HAP Speciation"/>
      <sheetName val="&lt;-- Print Range"/>
      <sheetName val="DETAIL 07"/>
      <sheetName val="U7 Engine Output (hp)"/>
      <sheetName val="U8"/>
      <sheetName val="U9 -2006 Air Stripper Emissions"/>
      <sheetName val="Tank Data"/>
      <sheetName val="Annual RT and Gas Usage"/>
      <sheetName val="EER 2007"/>
      <sheetName val="NOx Exceedance Dates"/>
      <sheetName val="CO_Tons_YTD"/>
      <sheetName val="NOx_Tons_YT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I2" t="str">
            <v>1210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17"/>
  <sheetViews>
    <sheetView topLeftCell="A79" zoomScale="90" zoomScaleNormal="90" zoomScaleSheetLayoutView="70" zoomScalePageLayoutView="70" workbookViewId="0">
      <selection activeCell="A103" sqref="A103"/>
    </sheetView>
  </sheetViews>
  <sheetFormatPr defaultColWidth="9.140625" defaultRowHeight="13.5" x14ac:dyDescent="0.25"/>
  <cols>
    <col min="1" max="1" width="30.140625" style="44" customWidth="1"/>
    <col min="2" max="5" width="16.28515625" style="44" customWidth="1"/>
    <col min="6" max="8" width="15.140625" style="44" customWidth="1"/>
    <col min="9" max="11" width="16.42578125" style="44" customWidth="1"/>
    <col min="12" max="16384" width="9.140625" style="44"/>
  </cols>
  <sheetData>
    <row r="1" spans="1:6" ht="15" x14ac:dyDescent="0.3">
      <c r="A1" s="135" t="s">
        <v>419</v>
      </c>
    </row>
    <row r="2" spans="1:6" ht="15" x14ac:dyDescent="0.3">
      <c r="A2" s="135" t="s">
        <v>195</v>
      </c>
    </row>
    <row r="3" spans="1:6" ht="15" x14ac:dyDescent="0.3">
      <c r="A3" s="135"/>
    </row>
    <row r="4" spans="1:6" ht="15" thickBot="1" x14ac:dyDescent="0.35">
      <c r="A4" s="418" t="s">
        <v>420</v>
      </c>
    </row>
    <row r="5" spans="1:6" ht="57.75" thickTop="1" x14ac:dyDescent="0.25">
      <c r="A5" s="601" t="s">
        <v>2</v>
      </c>
      <c r="B5" s="498" t="s">
        <v>455</v>
      </c>
      <c r="C5" s="498" t="s">
        <v>456</v>
      </c>
      <c r="D5" s="498" t="s">
        <v>425</v>
      </c>
      <c r="E5" s="498" t="s">
        <v>457</v>
      </c>
    </row>
    <row r="6" spans="1:6" ht="15" thickBot="1" x14ac:dyDescent="0.3">
      <c r="A6" s="602"/>
      <c r="B6" s="21" t="s">
        <v>124</v>
      </c>
      <c r="C6" s="21" t="s">
        <v>50</v>
      </c>
      <c r="D6" s="21" t="s">
        <v>50</v>
      </c>
      <c r="E6" s="21" t="s">
        <v>50</v>
      </c>
    </row>
    <row r="7" spans="1:6" x14ac:dyDescent="0.25">
      <c r="A7" s="523" t="s">
        <v>1</v>
      </c>
      <c r="B7" s="524">
        <f>'CT - Steady State'!E5</f>
        <v>11.4</v>
      </c>
      <c r="C7" s="524">
        <f>'CT - Steady State'!F5</f>
        <v>49.932000000000002</v>
      </c>
      <c r="D7" s="524">
        <f>'CT Startups&amp;Shutdowns'!H22</f>
        <v>4.8460000000000001</v>
      </c>
      <c r="E7" s="524">
        <f t="shared" ref="E7:E14" si="0">SUM(C7:D7)</f>
        <v>54.778000000000006</v>
      </c>
      <c r="F7" s="115"/>
    </row>
    <row r="8" spans="1:6" ht="15" x14ac:dyDescent="0.25">
      <c r="A8" s="525" t="s">
        <v>41</v>
      </c>
      <c r="B8" s="526">
        <f>'CT - Steady State'!E6</f>
        <v>32.9</v>
      </c>
      <c r="C8" s="526">
        <f>'CT - Steady State'!F6</f>
        <v>144.102</v>
      </c>
      <c r="D8" s="526">
        <f>'CT Startups&amp;Shutdowns'!H10</f>
        <v>12.061999999999999</v>
      </c>
      <c r="E8" s="526">
        <f t="shared" si="0"/>
        <v>156.16400000000002</v>
      </c>
      <c r="F8" s="115"/>
    </row>
    <row r="9" spans="1:6" x14ac:dyDescent="0.25">
      <c r="A9" s="525" t="s">
        <v>3</v>
      </c>
      <c r="B9" s="526">
        <f>'CT - Steady State'!E7</f>
        <v>20</v>
      </c>
      <c r="C9" s="526">
        <f>'CT - Steady State'!F7</f>
        <v>87.6</v>
      </c>
      <c r="D9" s="526">
        <f>'CT Startups&amp;Shutdowns'!H16</f>
        <v>36.44</v>
      </c>
      <c r="E9" s="526">
        <f t="shared" si="0"/>
        <v>124.03999999999999</v>
      </c>
      <c r="F9" s="115"/>
    </row>
    <row r="10" spans="1:6" ht="15.75" x14ac:dyDescent="0.25">
      <c r="A10" s="525" t="s">
        <v>111</v>
      </c>
      <c r="B10" s="526">
        <f>'CT - Steady State'!E8</f>
        <v>5.952</v>
      </c>
      <c r="C10" s="526">
        <f>'CT - Steady State'!F8</f>
        <v>26.069759999999999</v>
      </c>
      <c r="D10" s="527" t="s">
        <v>142</v>
      </c>
      <c r="E10" s="526">
        <f t="shared" si="0"/>
        <v>26.069759999999999</v>
      </c>
      <c r="F10" s="115"/>
    </row>
    <row r="11" spans="1:6" ht="15" x14ac:dyDescent="0.25">
      <c r="A11" s="525" t="s">
        <v>112</v>
      </c>
      <c r="B11" s="526">
        <f>'CT - Steady State'!E9</f>
        <v>22.6</v>
      </c>
      <c r="C11" s="526">
        <f>'CT - Steady State'!F9</f>
        <v>98.988</v>
      </c>
      <c r="D11" s="528">
        <f>'CT Startups&amp;Shutdowns'!H28</f>
        <v>1.0893999999999999</v>
      </c>
      <c r="E11" s="526">
        <f t="shared" si="0"/>
        <v>100.0774</v>
      </c>
      <c r="F11" s="115"/>
    </row>
    <row r="12" spans="1:6" x14ac:dyDescent="0.25">
      <c r="A12" s="525" t="s">
        <v>5</v>
      </c>
      <c r="B12" s="526">
        <f>'CT - Steady State'!E9</f>
        <v>22.6</v>
      </c>
      <c r="C12" s="526">
        <f>'CT - Steady State'!F9</f>
        <v>98.988</v>
      </c>
      <c r="D12" s="528">
        <f>'CT Startups&amp;Shutdowns'!H28</f>
        <v>1.0893999999999999</v>
      </c>
      <c r="E12" s="526">
        <f t="shared" si="0"/>
        <v>100.0774</v>
      </c>
      <c r="F12" s="115"/>
    </row>
    <row r="13" spans="1:6" ht="15.75" x14ac:dyDescent="0.25">
      <c r="A13" s="525" t="s">
        <v>40</v>
      </c>
      <c r="B13" s="529">
        <f>'CT - Steady State'!E10</f>
        <v>2.2046568627450982E-3</v>
      </c>
      <c r="C13" s="528">
        <f>'CT - Steady State'!F10</f>
        <v>9.65639705882353E-3</v>
      </c>
      <c r="D13" s="527" t="s">
        <v>142</v>
      </c>
      <c r="E13" s="528">
        <f t="shared" si="0"/>
        <v>9.65639705882353E-3</v>
      </c>
      <c r="F13" s="115"/>
    </row>
    <row r="14" spans="1:6" ht="16.5" thickBot="1" x14ac:dyDescent="0.3">
      <c r="A14" s="530" t="s">
        <v>265</v>
      </c>
      <c r="B14" s="531">
        <f>'CT - Steady State'!E11</f>
        <v>3.8240000000000003</v>
      </c>
      <c r="C14" s="531">
        <f>'CT - Steady State'!F11</f>
        <v>16.749120000000001</v>
      </c>
      <c r="D14" s="532" t="s">
        <v>142</v>
      </c>
      <c r="E14" s="533">
        <f t="shared" si="0"/>
        <v>16.749120000000001</v>
      </c>
      <c r="F14" s="115"/>
    </row>
    <row r="15" spans="1:6" ht="14.25" x14ac:dyDescent="0.3">
      <c r="A15" s="134" t="s">
        <v>143</v>
      </c>
    </row>
    <row r="16" spans="1:6" ht="14.25" x14ac:dyDescent="0.3">
      <c r="A16" s="134"/>
    </row>
    <row r="17" spans="1:5" ht="15" thickBot="1" x14ac:dyDescent="0.35">
      <c r="A17" s="418" t="s">
        <v>79</v>
      </c>
    </row>
    <row r="18" spans="1:5" ht="46.5" customHeight="1" thickTop="1" x14ac:dyDescent="0.25">
      <c r="A18" s="601" t="s">
        <v>2</v>
      </c>
      <c r="B18" s="20" t="s">
        <v>85</v>
      </c>
      <c r="C18" s="20" t="s">
        <v>42</v>
      </c>
    </row>
    <row r="19" spans="1:5" ht="15" thickBot="1" x14ac:dyDescent="0.3">
      <c r="A19" s="602"/>
      <c r="B19" s="21" t="s">
        <v>124</v>
      </c>
      <c r="C19" s="21" t="s">
        <v>50</v>
      </c>
    </row>
    <row r="20" spans="1:5" x14ac:dyDescent="0.25">
      <c r="A20" s="37" t="s">
        <v>1</v>
      </c>
      <c r="B20" s="38">
        <f>'Auxiliary Boiler '!C36</f>
        <v>0.62219192580469163</v>
      </c>
      <c r="C20" s="38">
        <f>'Auxiliary Boiler '!D36</f>
        <v>1.4235751262411345</v>
      </c>
    </row>
    <row r="21" spans="1:5" ht="15" x14ac:dyDescent="0.25">
      <c r="A21" s="39" t="s">
        <v>41</v>
      </c>
      <c r="B21" s="40">
        <f>'Auxiliary Boiler '!C37</f>
        <v>0.85551389798145094</v>
      </c>
      <c r="C21" s="40">
        <f>'Auxiliary Boiler '!D37</f>
        <v>1.9574157985815597</v>
      </c>
    </row>
    <row r="22" spans="1:5" x14ac:dyDescent="0.25">
      <c r="A22" s="39" t="s">
        <v>3</v>
      </c>
      <c r="B22" s="40">
        <f>'Auxiliary Boiler '!C38</f>
        <v>2.8776376568466988</v>
      </c>
      <c r="C22" s="40">
        <f>'Auxiliary Boiler '!D38</f>
        <v>6.5840349588652467</v>
      </c>
    </row>
    <row r="23" spans="1:5" ht="15" x14ac:dyDescent="0.25">
      <c r="A23" s="39" t="s">
        <v>111</v>
      </c>
      <c r="B23" s="40">
        <f>'Auxiliary Boiler '!C39</f>
        <v>8.6295690125477345E-2</v>
      </c>
      <c r="C23" s="40">
        <f>'Auxiliary Boiler '!D39</f>
        <v>0.19744453900709216</v>
      </c>
    </row>
    <row r="24" spans="1:5" ht="15" x14ac:dyDescent="0.25">
      <c r="A24" s="39" t="s">
        <v>112</v>
      </c>
      <c r="B24" s="40">
        <f>'Auxiliary Boiler '!C40</f>
        <v>0.60462595081266091</v>
      </c>
      <c r="C24" s="40">
        <f>'Auxiliary Boiler '!D40</f>
        <v>1.3833841754593683</v>
      </c>
    </row>
    <row r="25" spans="1:5" x14ac:dyDescent="0.25">
      <c r="A25" s="39" t="s">
        <v>5</v>
      </c>
      <c r="B25" s="40">
        <f>'Auxiliary Boiler '!C40</f>
        <v>0.60462595081266091</v>
      </c>
      <c r="C25" s="40">
        <f>'Auxiliary Boiler '!D40</f>
        <v>1.3833841754593683</v>
      </c>
    </row>
    <row r="26" spans="1:5" x14ac:dyDescent="0.25">
      <c r="A26" s="39" t="s">
        <v>40</v>
      </c>
      <c r="B26" s="81">
        <f>'Auxiliary Boiler '!C41</f>
        <v>3.775436442989634E-5</v>
      </c>
      <c r="C26" s="81">
        <f>'Auxiliary Boiler '!D41</f>
        <v>8.6381985815602827E-5</v>
      </c>
    </row>
    <row r="27" spans="1:5" ht="15.75" thickBot="1" x14ac:dyDescent="0.3">
      <c r="A27" s="41" t="s">
        <v>265</v>
      </c>
      <c r="B27" s="82">
        <f>'Auxiliary Boiler '!C42</f>
        <v>1.3214027550463718E-2</v>
      </c>
      <c r="C27" s="82">
        <f>'Auxiliary Boiler '!D42</f>
        <v>3.0233695035460983E-2</v>
      </c>
    </row>
    <row r="29" spans="1:5" ht="15" x14ac:dyDescent="0.3">
      <c r="A29" s="135" t="s">
        <v>419</v>
      </c>
    </row>
    <row r="30" spans="1:5" ht="15" x14ac:dyDescent="0.3">
      <c r="A30" s="135" t="s">
        <v>195</v>
      </c>
    </row>
    <row r="31" spans="1:5" ht="13.5" customHeight="1" thickBot="1" x14ac:dyDescent="0.3">
      <c r="A31" s="419" t="s">
        <v>80</v>
      </c>
      <c r="B31" s="419"/>
      <c r="C31" s="419"/>
    </row>
    <row r="32" spans="1:5" ht="57.75" thickTop="1" x14ac:dyDescent="0.25">
      <c r="A32" s="601" t="s">
        <v>2</v>
      </c>
      <c r="B32" s="28" t="s">
        <v>81</v>
      </c>
      <c r="C32" s="28" t="s">
        <v>82</v>
      </c>
      <c r="D32" s="28" t="s">
        <v>83</v>
      </c>
      <c r="E32" s="28" t="s">
        <v>84</v>
      </c>
    </row>
    <row r="33" spans="1:11" ht="15" thickBot="1" x14ac:dyDescent="0.3">
      <c r="A33" s="602"/>
      <c r="B33" s="29" t="s">
        <v>43</v>
      </c>
      <c r="C33" s="29" t="s">
        <v>51</v>
      </c>
      <c r="D33" s="29" t="s">
        <v>43</v>
      </c>
      <c r="E33" s="29" t="s">
        <v>50</v>
      </c>
    </row>
    <row r="34" spans="1:11" x14ac:dyDescent="0.25">
      <c r="A34" s="37" t="s">
        <v>1</v>
      </c>
      <c r="B34" s="83">
        <f>'Emergency Generator'!D35</f>
        <v>0.65041116426728984</v>
      </c>
      <c r="C34" s="83">
        <f>'Emergency Generator'!E35</f>
        <v>3.2520558213364491E-2</v>
      </c>
      <c r="D34" s="83">
        <f>'Fire Water Pump '!D34</f>
        <v>5.7640159615511818E-2</v>
      </c>
      <c r="E34" s="83">
        <f>'Fire Water Pump '!E34</f>
        <v>2.8820079807755907E-3</v>
      </c>
      <c r="J34" s="22"/>
      <c r="K34" s="30"/>
    </row>
    <row r="35" spans="1:11" ht="15" x14ac:dyDescent="0.25">
      <c r="A35" s="39" t="s">
        <v>41</v>
      </c>
      <c r="B35" s="84">
        <f>'Emergency Generator'!D36</f>
        <v>32.224916775061182</v>
      </c>
      <c r="C35" s="84">
        <f>'Emergency Generator'!E36</f>
        <v>1.611245838753059</v>
      </c>
      <c r="D35" s="84">
        <f>'Fire Water Pump '!D35</f>
        <v>1.8680967393461057</v>
      </c>
      <c r="E35" s="84">
        <f>'Fire Water Pump '!E35</f>
        <v>9.3404836967305283E-2</v>
      </c>
      <c r="J35" s="22"/>
      <c r="K35" s="23"/>
    </row>
    <row r="36" spans="1:11" x14ac:dyDescent="0.25">
      <c r="A36" s="39" t="s">
        <v>3</v>
      </c>
      <c r="B36" s="84">
        <f>'Emergency Generator'!D37</f>
        <v>1.7738486298198815</v>
      </c>
      <c r="C36" s="84">
        <f>'Emergency Generator'!E37</f>
        <v>8.8692431490994081E-2</v>
      </c>
      <c r="D36" s="84">
        <f>'Fire Water Pump '!D36</f>
        <v>0.30556229193765294</v>
      </c>
      <c r="E36" s="84">
        <f>'Fire Water Pump '!E36</f>
        <v>1.5278114596882646E-2</v>
      </c>
      <c r="J36" s="22"/>
      <c r="K36" s="26"/>
    </row>
    <row r="37" spans="1:11" ht="15" x14ac:dyDescent="0.25">
      <c r="A37" s="39" t="s">
        <v>111</v>
      </c>
      <c r="B37" s="84">
        <f>'Emergency Generator'!D38</f>
        <v>2.9187000000000001E-2</v>
      </c>
      <c r="C37" s="465">
        <f>'Emergency Generator'!E38</f>
        <v>1.4593500000000001E-3</v>
      </c>
      <c r="D37" s="465">
        <f>'Fire Water Pump '!D37</f>
        <v>3.1725E-3</v>
      </c>
      <c r="E37" s="465">
        <f>'Fire Water Pump '!E37</f>
        <v>1.5862499999999999E-4</v>
      </c>
      <c r="J37" s="22"/>
      <c r="K37" s="26"/>
    </row>
    <row r="38" spans="1:11" ht="15" x14ac:dyDescent="0.25">
      <c r="A38" s="39" t="s">
        <v>112</v>
      </c>
      <c r="B38" s="84">
        <f>'Emergency Generator'!D39</f>
        <v>0.14782071915165679</v>
      </c>
      <c r="C38" s="84">
        <f>'Emergency Generator'!E39</f>
        <v>7.3910359575828401E-3</v>
      </c>
      <c r="D38" s="84">
        <f>'Fire Water Pump '!D38</f>
        <v>5.173725170307987E-2</v>
      </c>
      <c r="E38" s="84">
        <f>'Fire Water Pump '!E38</f>
        <v>2.5868625851539935E-3</v>
      </c>
      <c r="J38" s="22"/>
      <c r="K38" s="26"/>
    </row>
    <row r="39" spans="1:11" x14ac:dyDescent="0.25">
      <c r="A39" s="39" t="s">
        <v>5</v>
      </c>
      <c r="B39" s="84">
        <f>'Emergency Generator'!D39</f>
        <v>0.14782071915165679</v>
      </c>
      <c r="C39" s="84">
        <f>'Emergency Generator'!E39</f>
        <v>7.3910359575828401E-3</v>
      </c>
      <c r="D39" s="84">
        <f>'Fire Water Pump '!D38</f>
        <v>5.173725170307987E-2</v>
      </c>
      <c r="E39" s="84">
        <f>'Fire Water Pump '!E38</f>
        <v>2.5868625851539935E-3</v>
      </c>
      <c r="J39" s="22"/>
      <c r="K39" s="26"/>
    </row>
    <row r="40" spans="1:11" x14ac:dyDescent="0.25">
      <c r="A40" s="39" t="s">
        <v>40</v>
      </c>
      <c r="B40" s="85" t="s">
        <v>52</v>
      </c>
      <c r="C40" s="85" t="s">
        <v>52</v>
      </c>
      <c r="D40" s="85" t="s">
        <v>52</v>
      </c>
      <c r="E40" s="85" t="s">
        <v>52</v>
      </c>
    </row>
    <row r="41" spans="1:11" ht="15.75" thickBot="1" x14ac:dyDescent="0.3">
      <c r="A41" s="41" t="s">
        <v>265</v>
      </c>
      <c r="B41" s="480">
        <f>'Emergency Generator'!C40</f>
        <v>1.8506250000000001E-4</v>
      </c>
      <c r="C41" s="480">
        <f>'Emergency Generator'!D40</f>
        <v>3.5754075000000002E-3</v>
      </c>
      <c r="D41" s="480">
        <f>'Fire Water Pump '!D39</f>
        <v>3.8863125000000004E-4</v>
      </c>
      <c r="E41" s="480">
        <f>'Fire Water Pump '!E39</f>
        <v>1.9431562500000003E-5</v>
      </c>
    </row>
    <row r="43" spans="1:11" ht="13.5" customHeight="1" thickBot="1" x14ac:dyDescent="0.3">
      <c r="A43" s="417" t="s">
        <v>386</v>
      </c>
      <c r="B43" s="417"/>
      <c r="C43" s="417"/>
    </row>
    <row r="44" spans="1:11" ht="43.5" thickTop="1" x14ac:dyDescent="0.25">
      <c r="A44" s="601" t="s">
        <v>2</v>
      </c>
      <c r="B44" s="28" t="s">
        <v>387</v>
      </c>
      <c r="C44" s="28" t="s">
        <v>391</v>
      </c>
    </row>
    <row r="45" spans="1:11" ht="15" thickBot="1" x14ac:dyDescent="0.3">
      <c r="A45" s="602"/>
      <c r="B45" s="29" t="s">
        <v>43</v>
      </c>
      <c r="C45" s="29" t="s">
        <v>51</v>
      </c>
    </row>
    <row r="46" spans="1:11" x14ac:dyDescent="0.25">
      <c r="A46" s="37" t="s">
        <v>1</v>
      </c>
      <c r="B46" s="83">
        <f>'Fuel Gas Heater'!C36</f>
        <v>3.8290412100100042E-2</v>
      </c>
      <c r="C46" s="83">
        <f>'Fuel Gas Heater'!D36</f>
        <v>0.16771200499843819</v>
      </c>
      <c r="J46" s="22"/>
      <c r="K46" s="30"/>
    </row>
    <row r="47" spans="1:11" ht="15" x14ac:dyDescent="0.25">
      <c r="A47" s="39" t="s">
        <v>41</v>
      </c>
      <c r="B47" s="84">
        <f>'Fuel Gas Heater'!C37</f>
        <v>0.19692211937194307</v>
      </c>
      <c r="C47" s="84">
        <f>'Fuel Gas Heater'!D37</f>
        <v>0.8625188828491106</v>
      </c>
      <c r="J47" s="22"/>
      <c r="K47" s="23"/>
    </row>
    <row r="48" spans="1:11" x14ac:dyDescent="0.25">
      <c r="A48" s="39" t="s">
        <v>3</v>
      </c>
      <c r="B48" s="84">
        <f>'Fuel Gas Heater'!C38</f>
        <v>0.21267588892169853</v>
      </c>
      <c r="C48" s="84">
        <f>'Fuel Gas Heater'!D38</f>
        <v>0.93152039347703952</v>
      </c>
      <c r="J48" s="22"/>
      <c r="K48" s="26"/>
    </row>
    <row r="49" spans="1:11" ht="15" x14ac:dyDescent="0.25">
      <c r="A49" s="39" t="s">
        <v>111</v>
      </c>
      <c r="B49" s="86">
        <f>'Fuel Gas Heater'!C39</f>
        <v>6.0694134495898619E-3</v>
      </c>
      <c r="C49" s="86">
        <f>'Fuel Gas Heater'!D39</f>
        <v>2.6584030909203596E-2</v>
      </c>
      <c r="J49" s="22"/>
      <c r="K49" s="26"/>
    </row>
    <row r="50" spans="1:11" ht="15" x14ac:dyDescent="0.25">
      <c r="A50" s="39" t="s">
        <v>112</v>
      </c>
      <c r="B50" s="84">
        <f>'Fuel Gas Heater'!C40</f>
        <v>4.2525007593050099E-2</v>
      </c>
      <c r="C50" s="84">
        <f>'Fuel Gas Heater'!D40</f>
        <v>0.18625953325755945</v>
      </c>
      <c r="J50" s="22"/>
      <c r="K50" s="26"/>
    </row>
    <row r="51" spans="1:11" x14ac:dyDescent="0.25">
      <c r="A51" s="39" t="s">
        <v>5</v>
      </c>
      <c r="B51" s="84">
        <f>'Fuel Gas Heater'!C40</f>
        <v>4.2525007593050099E-2</v>
      </c>
      <c r="C51" s="84">
        <f>'Fuel Gas Heater'!D40</f>
        <v>0.18625953325755945</v>
      </c>
      <c r="J51" s="22"/>
      <c r="K51" s="26"/>
    </row>
    <row r="52" spans="1:11" x14ac:dyDescent="0.25">
      <c r="A52" s="39" t="s">
        <v>40</v>
      </c>
      <c r="B52" s="85" t="s">
        <v>52</v>
      </c>
      <c r="C52" s="85" t="s">
        <v>52</v>
      </c>
    </row>
    <row r="53" spans="1:11" ht="15.75" thickBot="1" x14ac:dyDescent="0.3">
      <c r="A53" s="41" t="s">
        <v>265</v>
      </c>
      <c r="B53" s="480">
        <f>'Fuel Gas Heater'!C42</f>
        <v>9.2937893446844763E-4</v>
      </c>
      <c r="C53" s="480">
        <f>'Fuel Gas Heater'!D42</f>
        <v>4.0706797329718002E-3</v>
      </c>
    </row>
    <row r="54" spans="1:11" s="352" customFormat="1" x14ac:dyDescent="0.25"/>
    <row r="55" spans="1:11" x14ac:dyDescent="0.25">
      <c r="A55" s="39"/>
      <c r="B55" s="85"/>
      <c r="C55" s="85"/>
      <c r="D55" s="85"/>
      <c r="E55" s="85"/>
    </row>
    <row r="56" spans="1:11" ht="15" x14ac:dyDescent="0.3">
      <c r="A56" s="135" t="s">
        <v>419</v>
      </c>
    </row>
    <row r="57" spans="1:11" ht="15" x14ac:dyDescent="0.3">
      <c r="A57" s="135" t="s">
        <v>195</v>
      </c>
    </row>
    <row r="59" spans="1:11" ht="15" thickBot="1" x14ac:dyDescent="0.3">
      <c r="A59" s="605" t="s">
        <v>44</v>
      </c>
      <c r="B59" s="605"/>
      <c r="C59" s="605"/>
      <c r="D59" s="605"/>
      <c r="E59" s="605"/>
      <c r="F59" s="605"/>
      <c r="G59" s="605"/>
      <c r="H59" s="605"/>
      <c r="I59" s="605"/>
      <c r="J59" s="605"/>
      <c r="K59" s="605"/>
    </row>
    <row r="60" spans="1:11" ht="13.5" customHeight="1" thickTop="1" x14ac:dyDescent="0.25">
      <c r="A60" s="300"/>
      <c r="B60" s="604" t="s">
        <v>264</v>
      </c>
      <c r="C60" s="604"/>
      <c r="D60" s="604"/>
      <c r="E60" s="604"/>
      <c r="F60" s="604"/>
      <c r="G60" s="604"/>
      <c r="H60" s="604"/>
      <c r="I60" s="604"/>
      <c r="J60" s="604"/>
      <c r="K60" s="604"/>
    </row>
    <row r="61" spans="1:11" ht="15" thickBot="1" x14ac:dyDescent="0.3">
      <c r="A61" s="32" t="s">
        <v>45</v>
      </c>
      <c r="B61" s="92" t="s">
        <v>1</v>
      </c>
      <c r="C61" s="92" t="s">
        <v>46</v>
      </c>
      <c r="D61" s="92" t="s">
        <v>3</v>
      </c>
      <c r="E61" s="92" t="s">
        <v>110</v>
      </c>
      <c r="F61" s="92" t="s">
        <v>109</v>
      </c>
      <c r="G61" s="92" t="s">
        <v>5</v>
      </c>
      <c r="H61" s="92" t="s">
        <v>266</v>
      </c>
      <c r="I61" s="92" t="s">
        <v>40</v>
      </c>
      <c r="J61" s="92" t="s">
        <v>108</v>
      </c>
      <c r="K61" s="92" t="s">
        <v>305</v>
      </c>
    </row>
    <row r="62" spans="1:11" ht="14.25" thickTop="1" x14ac:dyDescent="0.25">
      <c r="A62" s="22" t="s">
        <v>458</v>
      </c>
      <c r="B62" s="23">
        <f>C7</f>
        <v>49.932000000000002</v>
      </c>
      <c r="C62" s="23">
        <f>C8</f>
        <v>144.102</v>
      </c>
      <c r="D62" s="23">
        <f>C9</f>
        <v>87.6</v>
      </c>
      <c r="E62" s="23">
        <f>C10</f>
        <v>26.069759999999999</v>
      </c>
      <c r="F62" s="23">
        <f>C11</f>
        <v>98.988</v>
      </c>
      <c r="G62" s="23">
        <f>C12</f>
        <v>98.988</v>
      </c>
      <c r="H62" s="23">
        <f t="shared" ref="G62:H67" si="1">G62</f>
        <v>98.988</v>
      </c>
      <c r="I62" s="26">
        <f>C13</f>
        <v>9.65639705882353E-3</v>
      </c>
      <c r="J62" s="23">
        <f>C14</f>
        <v>16.749120000000001</v>
      </c>
      <c r="K62" s="125">
        <f>K74</f>
        <v>2315019.9047946827</v>
      </c>
    </row>
    <row r="63" spans="1:11" ht="15" customHeight="1" x14ac:dyDescent="0.25">
      <c r="A63" s="22" t="s">
        <v>401</v>
      </c>
      <c r="B63" s="23">
        <f>D7</f>
        <v>4.8460000000000001</v>
      </c>
      <c r="C63" s="23">
        <f>D8</f>
        <v>12.061999999999999</v>
      </c>
      <c r="D63" s="23">
        <f>D9</f>
        <v>36.44</v>
      </c>
      <c r="E63" s="311" t="s">
        <v>52</v>
      </c>
      <c r="F63" s="23">
        <f>D11</f>
        <v>1.0893999999999999</v>
      </c>
      <c r="G63" s="23">
        <f>D12</f>
        <v>1.0893999999999999</v>
      </c>
      <c r="H63" s="23">
        <f t="shared" si="1"/>
        <v>1.0893999999999999</v>
      </c>
      <c r="I63" s="23" t="str">
        <f>D13</f>
        <v>-- (1)</v>
      </c>
      <c r="J63" s="23" t="str">
        <f>D14</f>
        <v>-- (1)</v>
      </c>
      <c r="K63" s="311" t="s">
        <v>52</v>
      </c>
    </row>
    <row r="64" spans="1:11" x14ac:dyDescent="0.25">
      <c r="A64" s="22" t="s">
        <v>47</v>
      </c>
      <c r="B64" s="26">
        <f>C20</f>
        <v>1.4235751262411345</v>
      </c>
      <c r="C64" s="26">
        <f>C21</f>
        <v>1.9574157985815597</v>
      </c>
      <c r="D64" s="26">
        <f>C22</f>
        <v>6.5840349588652467</v>
      </c>
      <c r="E64" s="26">
        <f>C23</f>
        <v>0.19744453900709216</v>
      </c>
      <c r="F64" s="26">
        <f>C25</f>
        <v>1.3833841754593683</v>
      </c>
      <c r="G64" s="26">
        <f t="shared" si="1"/>
        <v>1.3833841754593683</v>
      </c>
      <c r="H64" s="26">
        <f t="shared" si="1"/>
        <v>1.3833841754593683</v>
      </c>
      <c r="I64" s="27">
        <f>C26</f>
        <v>8.6381985815602827E-5</v>
      </c>
      <c r="J64" s="33">
        <f>C27</f>
        <v>3.0233695035460983E-2</v>
      </c>
      <c r="K64" s="123">
        <f>K75</f>
        <v>20837.216186136538</v>
      </c>
    </row>
    <row r="65" spans="1:11" x14ac:dyDescent="0.25">
      <c r="A65" s="22" t="s">
        <v>386</v>
      </c>
      <c r="B65" s="26">
        <f>C46</f>
        <v>0.16771200499843819</v>
      </c>
      <c r="C65" s="26">
        <f>C47</f>
        <v>0.8625188828491106</v>
      </c>
      <c r="D65" s="26">
        <f>C48</f>
        <v>0.93152039347703952</v>
      </c>
      <c r="E65" s="26">
        <f>C49</f>
        <v>2.6584030909203596E-2</v>
      </c>
      <c r="F65" s="26">
        <f>C50</f>
        <v>0.18625953325755945</v>
      </c>
      <c r="G65" s="26">
        <f>C51</f>
        <v>0.18625953325755945</v>
      </c>
      <c r="H65" s="26">
        <f>C50</f>
        <v>0.18625953325755945</v>
      </c>
      <c r="I65" s="91" t="str">
        <f>C52</f>
        <v>--</v>
      </c>
      <c r="J65" s="423">
        <f>C53</f>
        <v>4.0706797329718002E-3</v>
      </c>
      <c r="K65" s="422">
        <f>K76</f>
        <v>2805.5331483952255</v>
      </c>
    </row>
    <row r="66" spans="1:11" ht="15.75" customHeight="1" x14ac:dyDescent="0.25">
      <c r="A66" s="90" t="s">
        <v>48</v>
      </c>
      <c r="B66" s="91">
        <f>C34</f>
        <v>3.2520558213364491E-2</v>
      </c>
      <c r="C66" s="91">
        <f>C35</f>
        <v>1.611245838753059</v>
      </c>
      <c r="D66" s="91">
        <f>C36</f>
        <v>8.8692431490994081E-2</v>
      </c>
      <c r="E66" s="423">
        <f>C37</f>
        <v>1.4593500000000001E-3</v>
      </c>
      <c r="F66" s="91">
        <f>C39</f>
        <v>7.3910359575828401E-3</v>
      </c>
      <c r="G66" s="91">
        <f t="shared" si="1"/>
        <v>7.3910359575828401E-3</v>
      </c>
      <c r="H66" s="91">
        <f t="shared" si="1"/>
        <v>7.3910359575828401E-3</v>
      </c>
      <c r="I66" s="91" t="str">
        <f>C40</f>
        <v>--</v>
      </c>
      <c r="J66" s="423">
        <f>C41</f>
        <v>3.5754075000000002E-3</v>
      </c>
      <c r="K66" s="296">
        <f>K77</f>
        <v>158.05037801229597</v>
      </c>
    </row>
    <row r="67" spans="1:11" x14ac:dyDescent="0.25">
      <c r="A67" s="22" t="s">
        <v>49</v>
      </c>
      <c r="B67" s="33">
        <f>E34</f>
        <v>2.8820079807755907E-3</v>
      </c>
      <c r="C67" s="26">
        <f>E35</f>
        <v>9.3404836967305283E-2</v>
      </c>
      <c r="D67" s="26">
        <f>E36</f>
        <v>1.5278114596882646E-2</v>
      </c>
      <c r="E67" s="424">
        <f>E37</f>
        <v>1.5862499999999999E-4</v>
      </c>
      <c r="F67" s="33">
        <f>E39</f>
        <v>2.5868625851539935E-3</v>
      </c>
      <c r="G67" s="33">
        <f t="shared" si="1"/>
        <v>2.5868625851539935E-3</v>
      </c>
      <c r="H67" s="33">
        <f t="shared" si="1"/>
        <v>2.5868625851539935E-3</v>
      </c>
      <c r="I67" s="26">
        <f>D41</f>
        <v>3.8863125000000004E-4</v>
      </c>
      <c r="J67" s="424">
        <f>E41</f>
        <v>1.9431562500000003E-5</v>
      </c>
      <c r="K67" s="297">
        <f>K78</f>
        <v>17.179388914379995</v>
      </c>
    </row>
    <row r="68" spans="1:11" ht="14.25" thickBot="1" x14ac:dyDescent="0.3">
      <c r="A68" s="24" t="s">
        <v>303</v>
      </c>
      <c r="B68" s="274" t="s">
        <v>52</v>
      </c>
      <c r="C68" s="274" t="s">
        <v>52</v>
      </c>
      <c r="D68" s="274" t="s">
        <v>52</v>
      </c>
      <c r="E68" s="274" t="s">
        <v>52</v>
      </c>
      <c r="F68" s="25" t="s">
        <v>52</v>
      </c>
      <c r="G68" s="25" t="s">
        <v>52</v>
      </c>
      <c r="H68" s="25" t="s">
        <v>52</v>
      </c>
      <c r="I68" s="25" t="s">
        <v>52</v>
      </c>
      <c r="J68" s="25" t="s">
        <v>52</v>
      </c>
      <c r="K68" s="299">
        <f>K79</f>
        <v>58.425000000000004</v>
      </c>
    </row>
    <row r="69" spans="1:11" ht="15.75" thickTop="1" thickBot="1" x14ac:dyDescent="0.3">
      <c r="A69" s="32" t="s">
        <v>7</v>
      </c>
      <c r="B69" s="35">
        <f>SUM(B62:B67)</f>
        <v>56.40468969743371</v>
      </c>
      <c r="C69" s="34">
        <f>SUM(C62:C67)</f>
        <v>160.68858535715106</v>
      </c>
      <c r="D69" s="35">
        <f>SUM(D62:D67)</f>
        <v>131.65952589843016</v>
      </c>
      <c r="E69" s="34">
        <f>SUM(E62:E67)</f>
        <v>26.295406544916293</v>
      </c>
      <c r="F69" s="35">
        <f>SUM(F62:F68)</f>
        <v>101.65702160725965</v>
      </c>
      <c r="G69" s="35">
        <f>SUM(G62:G67)</f>
        <v>101.65702160725965</v>
      </c>
      <c r="H69" s="36">
        <f>SUM(H62:H67)</f>
        <v>101.65702160725965</v>
      </c>
      <c r="I69" s="87">
        <f>SUM(I62:I67)</f>
        <v>1.0131410294639133E-2</v>
      </c>
      <c r="J69" s="34">
        <f>SUM(J62:J67)</f>
        <v>16.787019213830934</v>
      </c>
      <c r="K69" s="293">
        <f>SUM(K62:K68)</f>
        <v>2338896.3088961411</v>
      </c>
    </row>
    <row r="70" spans="1:11" ht="15" thickTop="1" x14ac:dyDescent="0.25">
      <c r="A70" s="117"/>
      <c r="B70" s="118"/>
      <c r="C70" s="119"/>
      <c r="D70" s="118"/>
      <c r="E70" s="119"/>
      <c r="F70" s="118"/>
      <c r="G70" s="118"/>
      <c r="H70" s="118"/>
      <c r="I70" s="120"/>
      <c r="J70" s="119"/>
    </row>
    <row r="71" spans="1:11" ht="15.75" thickBot="1" x14ac:dyDescent="0.35">
      <c r="A71" s="1" t="s">
        <v>90</v>
      </c>
      <c r="C71" s="116"/>
    </row>
    <row r="72" spans="1:11" ht="14.25" x14ac:dyDescent="0.25">
      <c r="A72" s="121"/>
      <c r="B72" s="603" t="s">
        <v>125</v>
      </c>
      <c r="C72" s="603"/>
      <c r="D72" s="603" t="s">
        <v>126</v>
      </c>
      <c r="E72" s="603"/>
      <c r="F72" s="603" t="s">
        <v>127</v>
      </c>
      <c r="G72" s="603"/>
      <c r="H72" s="603" t="s">
        <v>302</v>
      </c>
      <c r="I72" s="603"/>
      <c r="J72" s="603" t="s">
        <v>128</v>
      </c>
      <c r="K72" s="603"/>
    </row>
    <row r="73" spans="1:11" ht="15" thickBot="1" x14ac:dyDescent="0.3">
      <c r="A73" s="122" t="s">
        <v>21</v>
      </c>
      <c r="B73" s="29" t="s">
        <v>43</v>
      </c>
      <c r="C73" s="21" t="s">
        <v>50</v>
      </c>
      <c r="D73" s="29" t="s">
        <v>43</v>
      </c>
      <c r="E73" s="21" t="s">
        <v>50</v>
      </c>
      <c r="F73" s="29" t="s">
        <v>43</v>
      </c>
      <c r="G73" s="21" t="s">
        <v>50</v>
      </c>
      <c r="H73" s="29" t="s">
        <v>43</v>
      </c>
      <c r="I73" s="21" t="s">
        <v>50</v>
      </c>
      <c r="J73" s="29" t="s">
        <v>43</v>
      </c>
      <c r="K73" s="21" t="s">
        <v>50</v>
      </c>
    </row>
    <row r="74" spans="1:11" x14ac:dyDescent="0.25">
      <c r="A74" s="124" t="s">
        <v>443</v>
      </c>
      <c r="B74" s="125">
        <f>'CT - Steady State'!E12</f>
        <v>528000</v>
      </c>
      <c r="C74" s="125">
        <f>'CT - Steady State'!F12</f>
        <v>2312640</v>
      </c>
      <c r="D74" s="265">
        <f>'CT - Steady State'!E13</f>
        <v>9.9152784500000006</v>
      </c>
      <c r="E74" s="265">
        <f>'CT - Steady State'!F13</f>
        <v>43.428919611000005</v>
      </c>
      <c r="F74" s="265">
        <f>'CT - Steady State'!E14</f>
        <v>0.99152784499999991</v>
      </c>
      <c r="G74" s="265">
        <f>'CT - Steady State'!F14</f>
        <v>4.3428919610999994</v>
      </c>
      <c r="H74" s="276" t="s">
        <v>52</v>
      </c>
      <c r="I74" s="276" t="s">
        <v>52</v>
      </c>
      <c r="J74" s="125">
        <f t="shared" ref="J74:K78" si="2">B74+($B$113*D74)+($B$114*F74)</f>
        <v>528543.35725906002</v>
      </c>
      <c r="K74" s="125">
        <f t="shared" si="2"/>
        <v>2315019.9047946827</v>
      </c>
    </row>
    <row r="75" spans="1:11" x14ac:dyDescent="0.25">
      <c r="A75" s="126" t="s">
        <v>79</v>
      </c>
      <c r="B75" s="123">
        <f>'Auxiliary Boiler '!C43</f>
        <v>9097.7787836984553</v>
      </c>
      <c r="C75" s="123">
        <f>'Auxiliary Boiler '!D43</f>
        <v>20815.717857102067</v>
      </c>
      <c r="D75" s="127">
        <f>'Auxiliary Boiler '!C44</f>
        <v>0.17146209543344243</v>
      </c>
      <c r="E75" s="127">
        <f>'Auxiliary Boiler '!D44</f>
        <v>0.39230527435171625</v>
      </c>
      <c r="F75" s="127">
        <f>'Auxiliary Boiler '!C45</f>
        <v>1.714620954334424E-2</v>
      </c>
      <c r="G75" s="127">
        <f>'Auxiliary Boiler '!D45</f>
        <v>3.9230527435171622E-2</v>
      </c>
      <c r="H75" s="277" t="s">
        <v>52</v>
      </c>
      <c r="I75" s="277" t="s">
        <v>52</v>
      </c>
      <c r="J75" s="123">
        <f t="shared" si="2"/>
        <v>9107.1749065282074</v>
      </c>
      <c r="K75" s="123">
        <f t="shared" si="2"/>
        <v>20837.216186136538</v>
      </c>
    </row>
    <row r="76" spans="1:11" x14ac:dyDescent="0.25">
      <c r="A76" s="126" t="s">
        <v>386</v>
      </c>
      <c r="B76" s="123">
        <f>'Fuel Gas Heater'!C43</f>
        <v>639.87182709684896</v>
      </c>
      <c r="C76" s="123">
        <f>'Fuel Gas Heater'!D43</f>
        <v>2802.6386026841983</v>
      </c>
      <c r="D76" s="127">
        <f>'Fuel Gas Heater'!C44</f>
        <v>1.2059401189160365E-2</v>
      </c>
      <c r="E76" s="127">
        <f>'Fuel Gas Heater'!D44</f>
        <v>5.2820177208522397E-2</v>
      </c>
      <c r="F76" s="127">
        <f>'Fuel Gas Heater'!C45</f>
        <v>1.2059401189160365E-3</v>
      </c>
      <c r="G76" s="127">
        <f>'Fuel Gas Heater'!D45</f>
        <v>5.2820177208522398E-3</v>
      </c>
      <c r="H76" s="277" t="s">
        <v>52</v>
      </c>
      <c r="I76" s="277" t="s">
        <v>52</v>
      </c>
      <c r="J76" s="123">
        <f t="shared" si="2"/>
        <v>640.532682282015</v>
      </c>
      <c r="K76" s="123">
        <f t="shared" si="2"/>
        <v>2805.5331483952255</v>
      </c>
    </row>
    <row r="77" spans="1:11" x14ac:dyDescent="0.25">
      <c r="A77" s="126" t="s">
        <v>48</v>
      </c>
      <c r="B77" s="123">
        <f>'Emergency Generator'!D41</f>
        <v>3150.1973912639992</v>
      </c>
      <c r="C77" s="123">
        <f>'Emergency Generator'!E41</f>
        <v>157.50986956319997</v>
      </c>
      <c r="D77" s="127">
        <f>'Emergency Generator'!D42</f>
        <v>0.12777977519999997</v>
      </c>
      <c r="E77" s="127">
        <f>'Emergency Generator'!E42</f>
        <v>6.3889887599999978E-3</v>
      </c>
      <c r="F77" s="127">
        <f>'Emergency Generator'!D43</f>
        <v>2.5555955039999998E-2</v>
      </c>
      <c r="G77" s="127">
        <f>'Emergency Generator'!E43</f>
        <v>1.2777977519999998E-3</v>
      </c>
      <c r="H77" s="277" t="s">
        <v>52</v>
      </c>
      <c r="I77" s="277" t="s">
        <v>52</v>
      </c>
      <c r="J77" s="123">
        <f t="shared" si="2"/>
        <v>3161.0075602459192</v>
      </c>
      <c r="K77" s="123">
        <f t="shared" si="2"/>
        <v>158.05037801229597</v>
      </c>
    </row>
    <row r="78" spans="1:11" x14ac:dyDescent="0.25">
      <c r="A78" s="126" t="s">
        <v>49</v>
      </c>
      <c r="B78" s="123">
        <f>'Fire Water Pump '!D40</f>
        <v>342.41275991999993</v>
      </c>
      <c r="C78" s="123">
        <f>'Fire Water Pump '!E40</f>
        <v>17.120637995999996</v>
      </c>
      <c r="D78" s="127">
        <f>'Fire Water Pump '!D41</f>
        <v>1.3889105999999998E-2</v>
      </c>
      <c r="E78" s="127">
        <f>'Fire Water Pump '!E41</f>
        <v>6.9445529999999996E-4</v>
      </c>
      <c r="F78" s="127">
        <f>'Fire Water Pump '!D42</f>
        <v>2.7778211999999998E-3</v>
      </c>
      <c r="G78" s="127">
        <f>'Fire Water Pump '!E42</f>
        <v>1.3889105999999999E-4</v>
      </c>
      <c r="H78" s="275" t="s">
        <v>52</v>
      </c>
      <c r="I78" s="275" t="s">
        <v>52</v>
      </c>
      <c r="J78" s="123">
        <f t="shared" si="2"/>
        <v>343.58777828759992</v>
      </c>
      <c r="K78" s="123">
        <f t="shared" si="2"/>
        <v>17.179388914379995</v>
      </c>
    </row>
    <row r="79" spans="1:11" ht="14.25" thickBot="1" x14ac:dyDescent="0.3">
      <c r="A79" s="24" t="s">
        <v>303</v>
      </c>
      <c r="B79" s="274" t="s">
        <v>52</v>
      </c>
      <c r="C79" s="274" t="s">
        <v>52</v>
      </c>
      <c r="D79" s="274" t="s">
        <v>52</v>
      </c>
      <c r="E79" s="274" t="s">
        <v>52</v>
      </c>
      <c r="F79" s="25" t="s">
        <v>52</v>
      </c>
      <c r="G79" s="25" t="s">
        <v>52</v>
      </c>
      <c r="H79" s="294">
        <f>I79*2000/8760</f>
        <v>5.8504566210045657E-4</v>
      </c>
      <c r="I79" s="295">
        <f>'Circuit Breakers SF6'!F7</f>
        <v>2.5625000000000001E-3</v>
      </c>
      <c r="J79" s="298">
        <f>(H79*B115)</f>
        <v>13.33904109589041</v>
      </c>
      <c r="K79" s="299">
        <f>(I79*B115)</f>
        <v>58.425000000000004</v>
      </c>
    </row>
    <row r="80" spans="1:11" s="317" customFormat="1" ht="21.75" customHeight="1" thickTop="1" thickBot="1" x14ac:dyDescent="0.25">
      <c r="A80" s="92" t="s">
        <v>129</v>
      </c>
      <c r="B80" s="312">
        <f t="shared" ref="B80:G80" si="3">SUM(B74:B78)</f>
        <v>541230.26076197927</v>
      </c>
      <c r="C80" s="313">
        <f t="shared" si="3"/>
        <v>2336432.9869673457</v>
      </c>
      <c r="D80" s="314">
        <f t="shared" si="3"/>
        <v>10.240468827822605</v>
      </c>
      <c r="E80" s="315">
        <f t="shared" si="3"/>
        <v>43.881128506620243</v>
      </c>
      <c r="F80" s="314">
        <f t="shared" si="3"/>
        <v>1.0382137709022601</v>
      </c>
      <c r="G80" s="314">
        <f t="shared" si="3"/>
        <v>4.388821195068024</v>
      </c>
      <c r="H80" s="316">
        <f>SUM(H74:H79)</f>
        <v>5.8504566210045657E-4</v>
      </c>
      <c r="I80" s="316">
        <f>SUM(I74:I79)</f>
        <v>2.5625000000000001E-3</v>
      </c>
      <c r="J80" s="313">
        <f>SUM(J74:J79)</f>
        <v>541808.99922749971</v>
      </c>
      <c r="K80" s="313">
        <f>SUM(K74:K79)</f>
        <v>2338896.3088961411</v>
      </c>
    </row>
    <row r="81" spans="1:9" ht="15" thickTop="1" x14ac:dyDescent="0.25">
      <c r="A81" s="248"/>
      <c r="B81" s="249"/>
      <c r="C81" s="249"/>
      <c r="D81" s="249"/>
      <c r="E81" s="249"/>
      <c r="F81" s="249"/>
      <c r="G81" s="249"/>
      <c r="H81" s="249"/>
      <c r="I81" s="249"/>
    </row>
    <row r="82" spans="1:9" ht="15" x14ac:dyDescent="0.3">
      <c r="A82" s="135" t="s">
        <v>419</v>
      </c>
    </row>
    <row r="83" spans="1:9" ht="15.75" thickBot="1" x14ac:dyDescent="0.35">
      <c r="A83" s="135" t="s">
        <v>195</v>
      </c>
    </row>
    <row r="84" spans="1:9" ht="48" customHeight="1" thickBot="1" x14ac:dyDescent="0.3">
      <c r="A84" s="98" t="s">
        <v>68</v>
      </c>
      <c r="B84" s="221" t="s">
        <v>426</v>
      </c>
      <c r="C84" s="221" t="s">
        <v>459</v>
      </c>
      <c r="D84" s="228" t="s">
        <v>102</v>
      </c>
      <c r="E84" s="228" t="s">
        <v>388</v>
      </c>
      <c r="F84" s="221" t="s">
        <v>103</v>
      </c>
      <c r="G84" s="228" t="s">
        <v>104</v>
      </c>
      <c r="H84" s="229" t="s">
        <v>105</v>
      </c>
    </row>
    <row r="85" spans="1:9" x14ac:dyDescent="0.25">
      <c r="A85" s="101" t="s">
        <v>252</v>
      </c>
      <c r="B85" s="222" t="str">
        <f t="shared" ref="B85:B107" si="4">VLOOKUP($A85,FacilityHAP,2,FALSE)</f>
        <v>NA</v>
      </c>
      <c r="C85" s="222">
        <f t="shared" ref="C85:C107" si="5">VLOOKUP($A85,FacilityHAP,3,FALSE)</f>
        <v>2.333126213592233E-6</v>
      </c>
      <c r="D85" s="222">
        <f t="shared" ref="D85:D107" si="6">VLOOKUP($A85,FacilityHAP,5,FALSE)</f>
        <v>1.8122094926350243E-6</v>
      </c>
      <c r="E85" s="222">
        <f t="shared" ref="E85:E107" si="7">VLOOKUP($A85,FacilityHAP,6,FALSE)</f>
        <v>1.2745768244138714E-7</v>
      </c>
      <c r="F85" s="222" t="str">
        <f t="shared" ref="F85:F107" si="8">VLOOKUP($A85,FacilityHAP,7,FALSE)</f>
        <v>NA</v>
      </c>
      <c r="G85" s="222" t="str">
        <f t="shared" ref="G85:G107" si="9">VLOOKUP($A85,FacilityHAP,8,FALSE)</f>
        <v>NA</v>
      </c>
      <c r="H85" s="223">
        <f t="shared" ref="H85:H107" si="10">VLOOKUP($A85,FacilityHAP,14,FALSE)</f>
        <v>1.4923692783776194E-5</v>
      </c>
    </row>
    <row r="86" spans="1:9" x14ac:dyDescent="0.25">
      <c r="A86" s="224" t="s">
        <v>14</v>
      </c>
      <c r="B86" s="225">
        <f t="shared" si="4"/>
        <v>1.39848E-2</v>
      </c>
      <c r="C86" s="225" t="str">
        <f t="shared" si="5"/>
        <v>NA</v>
      </c>
      <c r="D86" s="225" t="str">
        <f t="shared" si="6"/>
        <v>NA</v>
      </c>
      <c r="E86" s="225" t="str">
        <f t="shared" si="7"/>
        <v>NA</v>
      </c>
      <c r="F86" s="225">
        <f t="shared" si="8"/>
        <v>4.8686399999999999E-4</v>
      </c>
      <c r="G86" s="225">
        <f t="shared" si="9"/>
        <v>1.6107000000000001E-3</v>
      </c>
      <c r="H86" s="226">
        <f t="shared" si="10"/>
        <v>6.1358302199999999E-2</v>
      </c>
    </row>
    <row r="87" spans="1:9" x14ac:dyDescent="0.25">
      <c r="A87" s="224" t="s">
        <v>15</v>
      </c>
      <c r="B87" s="225">
        <f t="shared" si="4"/>
        <v>2.2375679999999997E-3</v>
      </c>
      <c r="C87" s="225" t="str">
        <f t="shared" si="5"/>
        <v>NA</v>
      </c>
      <c r="D87" s="225" t="str">
        <f t="shared" si="6"/>
        <v>NA</v>
      </c>
      <c r="E87" s="225" t="str">
        <f t="shared" si="7"/>
        <v>NA</v>
      </c>
      <c r="F87" s="225">
        <f t="shared" si="8"/>
        <v>1.5224160000000002E-4</v>
      </c>
      <c r="G87" s="225">
        <f t="shared" si="9"/>
        <v>7.8800000000000007E-4</v>
      </c>
      <c r="H87" s="226">
        <f t="shared" si="10"/>
        <v>9.809341919999999E-3</v>
      </c>
    </row>
    <row r="88" spans="1:9" x14ac:dyDescent="0.25">
      <c r="A88" s="105" t="s">
        <v>69</v>
      </c>
      <c r="B88" s="225" t="str">
        <f t="shared" si="4"/>
        <v>NA</v>
      </c>
      <c r="C88" s="225">
        <f t="shared" si="5"/>
        <v>1.9442718446601945E-4</v>
      </c>
      <c r="D88" s="225">
        <f t="shared" si="6"/>
        <v>1.5101745771958536E-5</v>
      </c>
      <c r="E88" s="225">
        <f t="shared" si="7"/>
        <v>1.0621473536782262E-6</v>
      </c>
      <c r="F88" s="225" t="str">
        <f t="shared" si="8"/>
        <v>NA</v>
      </c>
      <c r="G88" s="225" t="str">
        <f t="shared" si="9"/>
        <v>NA</v>
      </c>
      <c r="H88" s="226">
        <f t="shared" si="10"/>
        <v>8.9079606769651692E-4</v>
      </c>
    </row>
    <row r="89" spans="1:9" x14ac:dyDescent="0.25">
      <c r="A89" s="233" t="s">
        <v>16</v>
      </c>
      <c r="B89" s="225">
        <f t="shared" si="4"/>
        <v>4.1954399999999991E-3</v>
      </c>
      <c r="C89" s="225">
        <f t="shared" si="5"/>
        <v>2.0414854368932037E-4</v>
      </c>
      <c r="D89" s="225">
        <f t="shared" si="6"/>
        <v>1.5856833060556462E-4</v>
      </c>
      <c r="E89" s="225">
        <f t="shared" si="7"/>
        <v>1.1152547213621373E-5</v>
      </c>
      <c r="F89" s="225">
        <f t="shared" si="8"/>
        <v>1.499232E-2</v>
      </c>
      <c r="G89" s="225">
        <f t="shared" si="9"/>
        <v>1.9593000000000002E-3</v>
      </c>
      <c r="H89" s="226">
        <f t="shared" si="10"/>
        <v>2.0529431318580413E-2</v>
      </c>
    </row>
    <row r="90" spans="1:9" x14ac:dyDescent="0.25">
      <c r="A90" s="233" t="s">
        <v>194</v>
      </c>
      <c r="B90" s="225" t="str">
        <f t="shared" si="4"/>
        <v>NA</v>
      </c>
      <c r="C90" s="225">
        <f t="shared" si="5"/>
        <v>1.069349514563107E-3</v>
      </c>
      <c r="D90" s="225">
        <f t="shared" si="6"/>
        <v>8.305960174577195E-5</v>
      </c>
      <c r="E90" s="225">
        <f t="shared" si="7"/>
        <v>5.8418104452302433E-6</v>
      </c>
      <c r="F90" s="225" t="str">
        <f t="shared" si="8"/>
        <v>NA</v>
      </c>
      <c r="G90" s="225" t="str">
        <f t="shared" si="9"/>
        <v>NA</v>
      </c>
      <c r="H90" s="226">
        <f t="shared" si="10"/>
        <v>4.8993783723308435E-3</v>
      </c>
    </row>
    <row r="91" spans="1:9" x14ac:dyDescent="0.25">
      <c r="A91" s="233" t="s">
        <v>70</v>
      </c>
      <c r="B91" s="225" t="str">
        <f t="shared" si="4"/>
        <v>NA</v>
      </c>
      <c r="C91" s="225">
        <f t="shared" si="5"/>
        <v>1.360990291262136E-3</v>
      </c>
      <c r="D91" s="225">
        <f t="shared" si="6"/>
        <v>1.0571222040370975E-4</v>
      </c>
      <c r="E91" s="225">
        <f t="shared" si="7"/>
        <v>7.4350314757475819E-6</v>
      </c>
      <c r="F91" s="225" t="str">
        <f t="shared" si="8"/>
        <v>NA</v>
      </c>
      <c r="G91" s="225" t="str">
        <f t="shared" si="9"/>
        <v>NA</v>
      </c>
      <c r="H91" s="226">
        <f t="shared" si="10"/>
        <v>6.2355724738756184E-3</v>
      </c>
    </row>
    <row r="92" spans="1:9" x14ac:dyDescent="0.25">
      <c r="A92" s="233" t="s">
        <v>71</v>
      </c>
      <c r="B92" s="225" t="str">
        <f t="shared" si="4"/>
        <v>NA</v>
      </c>
      <c r="C92" s="225">
        <f t="shared" si="5"/>
        <v>8.1659417475728153E-5</v>
      </c>
      <c r="D92" s="225">
        <f t="shared" si="6"/>
        <v>6.3427332242225847E-6</v>
      </c>
      <c r="E92" s="225">
        <f t="shared" si="7"/>
        <v>4.4610188854485492E-7</v>
      </c>
      <c r="F92" s="225" t="str">
        <f t="shared" si="8"/>
        <v>NA</v>
      </c>
      <c r="G92" s="225" t="str">
        <f t="shared" si="9"/>
        <v>NA</v>
      </c>
      <c r="H92" s="226">
        <f t="shared" si="10"/>
        <v>3.7413434843253703E-4</v>
      </c>
    </row>
    <row r="93" spans="1:9" x14ac:dyDescent="0.25">
      <c r="A93" s="233" t="s">
        <v>27</v>
      </c>
      <c r="B93" s="225" t="str">
        <f t="shared" si="4"/>
        <v>NA</v>
      </c>
      <c r="C93" s="225">
        <f t="shared" si="5"/>
        <v>1.1665631067961162E-4</v>
      </c>
      <c r="D93" s="225">
        <f t="shared" si="6"/>
        <v>9.0610474631751207E-5</v>
      </c>
      <c r="E93" s="225">
        <f t="shared" si="7"/>
        <v>6.3728841220693553E-6</v>
      </c>
      <c r="F93" s="225" t="str">
        <f t="shared" si="8"/>
        <v>NA</v>
      </c>
      <c r="G93" s="225" t="str">
        <f t="shared" si="9"/>
        <v>NA</v>
      </c>
      <c r="H93" s="226">
        <f t="shared" si="10"/>
        <v>7.4618463918880952E-4</v>
      </c>
    </row>
    <row r="94" spans="1:9" x14ac:dyDescent="0.25">
      <c r="A94" s="234" t="s">
        <v>28</v>
      </c>
      <c r="B94" s="225">
        <f t="shared" si="4"/>
        <v>1.1187839999999998E-2</v>
      </c>
      <c r="C94" s="225" t="str">
        <f t="shared" si="5"/>
        <v>NA</v>
      </c>
      <c r="D94" s="225" t="str">
        <f t="shared" si="6"/>
        <v>NA</v>
      </c>
      <c r="E94" s="225" t="str">
        <f t="shared" si="7"/>
        <v>NA</v>
      </c>
      <c r="F94" s="225" t="str">
        <f t="shared" si="8"/>
        <v>NA</v>
      </c>
      <c r="G94" s="225" t="str">
        <f t="shared" si="9"/>
        <v>NA</v>
      </c>
      <c r="H94" s="226">
        <f t="shared" si="10"/>
        <v>4.9002739199999985E-2</v>
      </c>
    </row>
    <row r="95" spans="1:9" x14ac:dyDescent="0.25">
      <c r="A95" s="233" t="s">
        <v>72</v>
      </c>
      <c r="B95" s="225" t="str">
        <f t="shared" si="4"/>
        <v>NA</v>
      </c>
      <c r="C95" s="225">
        <f t="shared" si="5"/>
        <v>2.9164077669902913E-7</v>
      </c>
      <c r="D95" s="225">
        <f t="shared" si="6"/>
        <v>2.2652618657937804E-7</v>
      </c>
      <c r="E95" s="225">
        <f t="shared" si="7"/>
        <v>1.5932210305173392E-8</v>
      </c>
      <c r="F95" s="225" t="str">
        <f t="shared" si="8"/>
        <v>NA</v>
      </c>
      <c r="G95" s="225" t="str">
        <f t="shared" si="9"/>
        <v>NA</v>
      </c>
      <c r="H95" s="226">
        <f t="shared" si="10"/>
        <v>1.8654615979720242E-6</v>
      </c>
    </row>
    <row r="96" spans="1:9" x14ac:dyDescent="0.25">
      <c r="A96" s="233" t="s">
        <v>73</v>
      </c>
      <c r="B96" s="225" t="str">
        <f t="shared" si="4"/>
        <v>NA</v>
      </c>
      <c r="C96" s="225">
        <f t="shared" si="5"/>
        <v>2.7219805825242716E-7</v>
      </c>
      <c r="D96" s="225">
        <f t="shared" si="6"/>
        <v>2.114244408074195E-7</v>
      </c>
      <c r="E96" s="225">
        <f t="shared" si="7"/>
        <v>1.4870062951495163E-8</v>
      </c>
      <c r="F96" s="225" t="str">
        <f t="shared" si="8"/>
        <v>NA</v>
      </c>
      <c r="G96" s="225" t="str">
        <f t="shared" si="9"/>
        <v>NA</v>
      </c>
      <c r="H96" s="226">
        <f t="shared" si="10"/>
        <v>1.7410974914405559E-6</v>
      </c>
    </row>
    <row r="97" spans="1:8" x14ac:dyDescent="0.25">
      <c r="A97" s="233" t="s">
        <v>17</v>
      </c>
      <c r="B97" s="225">
        <f t="shared" si="4"/>
        <v>1.0488599999999999</v>
      </c>
      <c r="C97" s="225">
        <f t="shared" si="5"/>
        <v>7.291019417475726E-3</v>
      </c>
      <c r="D97" s="225">
        <f t="shared" si="6"/>
        <v>5.6631546644844511E-3</v>
      </c>
      <c r="E97" s="225">
        <f t="shared" si="7"/>
        <v>3.9830525762933475E-4</v>
      </c>
      <c r="F97" s="225">
        <f t="shared" si="8"/>
        <v>1.5243479999999998E-3</v>
      </c>
      <c r="G97" s="225">
        <f t="shared" si="9"/>
        <v>2.4780000000000002E-3</v>
      </c>
      <c r="H97" s="226">
        <f t="shared" si="10"/>
        <v>4.6408434573493</v>
      </c>
    </row>
    <row r="98" spans="1:8" x14ac:dyDescent="0.25">
      <c r="A98" s="233" t="s">
        <v>29</v>
      </c>
      <c r="B98" s="225" t="str">
        <f t="shared" si="4"/>
        <v>NA</v>
      </c>
      <c r="C98" s="225">
        <f t="shared" si="5"/>
        <v>0.17498446601941745</v>
      </c>
      <c r="D98" s="225">
        <f t="shared" si="6"/>
        <v>0.13591571194762683</v>
      </c>
      <c r="E98" s="225">
        <f t="shared" si="7"/>
        <v>9.5593261831040353E-3</v>
      </c>
      <c r="F98" s="225" t="str">
        <f t="shared" si="8"/>
        <v>NA</v>
      </c>
      <c r="G98" s="225" t="str">
        <f t="shared" si="9"/>
        <v>NA</v>
      </c>
      <c r="H98" s="226">
        <f t="shared" si="10"/>
        <v>1.1192769587832143</v>
      </c>
    </row>
    <row r="99" spans="1:8" x14ac:dyDescent="0.25">
      <c r="A99" s="233" t="s">
        <v>74</v>
      </c>
      <c r="B99" s="225" t="str">
        <f t="shared" si="4"/>
        <v>NA</v>
      </c>
      <c r="C99" s="225">
        <f t="shared" si="5"/>
        <v>3.6941165048543694E-4</v>
      </c>
      <c r="D99" s="225">
        <f t="shared" si="6"/>
        <v>2.8693316966721219E-5</v>
      </c>
      <c r="E99" s="225">
        <f t="shared" si="7"/>
        <v>2.0180799719886294E-6</v>
      </c>
      <c r="F99" s="225" t="str">
        <f t="shared" si="8"/>
        <v>NA</v>
      </c>
      <c r="G99" s="225" t="str">
        <f t="shared" si="9"/>
        <v>NA</v>
      </c>
      <c r="H99" s="226">
        <f t="shared" si="10"/>
        <v>1.6925125286233824E-3</v>
      </c>
    </row>
    <row r="100" spans="1:8" x14ac:dyDescent="0.25">
      <c r="A100" s="233" t="s">
        <v>75</v>
      </c>
      <c r="B100" s="225" t="str">
        <f t="shared" si="4"/>
        <v>NA</v>
      </c>
      <c r="C100" s="225">
        <f t="shared" si="5"/>
        <v>2.5275533980582526E-4</v>
      </c>
      <c r="D100" s="225">
        <f t="shared" si="6"/>
        <v>1.9632269503546095E-5</v>
      </c>
      <c r="E100" s="225">
        <f t="shared" si="7"/>
        <v>1.3807915597816936E-6</v>
      </c>
      <c r="F100" s="225" t="str">
        <f t="shared" si="8"/>
        <v>NA</v>
      </c>
      <c r="G100" s="225" t="str">
        <f t="shared" si="9"/>
        <v>NA</v>
      </c>
      <c r="H100" s="226">
        <f t="shared" si="10"/>
        <v>1.1580348880054719E-3</v>
      </c>
    </row>
    <row r="101" spans="1:8" x14ac:dyDescent="0.25">
      <c r="A101" s="234" t="s">
        <v>18</v>
      </c>
      <c r="B101" s="225">
        <f t="shared" si="4"/>
        <v>4.5450599999999997E-4</v>
      </c>
      <c r="C101" s="225">
        <f t="shared" si="5"/>
        <v>5.9300291262135915E-5</v>
      </c>
      <c r="D101" s="225">
        <f t="shared" si="6"/>
        <v>4.6060324604473532E-5</v>
      </c>
      <c r="E101" s="225">
        <f t="shared" si="7"/>
        <v>3.2395494287185891E-6</v>
      </c>
      <c r="F101" s="225">
        <f t="shared" si="8"/>
        <v>2.5115999999999997E-3</v>
      </c>
      <c r="G101" s="225">
        <f t="shared" si="9"/>
        <v>1.7808E-4</v>
      </c>
      <c r="H101" s="226">
        <f t="shared" si="10"/>
        <v>2.5045308049209784E-3</v>
      </c>
    </row>
    <row r="102" spans="1:8" x14ac:dyDescent="0.25">
      <c r="A102" s="233" t="s">
        <v>76</v>
      </c>
      <c r="B102" s="225" t="str">
        <f t="shared" si="4"/>
        <v>NA</v>
      </c>
      <c r="C102" s="225">
        <f t="shared" si="5"/>
        <v>2.0414854368932039E-3</v>
      </c>
      <c r="D102" s="225">
        <f t="shared" si="6"/>
        <v>1.5856833060556462E-4</v>
      </c>
      <c r="E102" s="225">
        <f t="shared" si="7"/>
        <v>1.1152547213621373E-5</v>
      </c>
      <c r="F102" s="225" t="str">
        <f t="shared" si="8"/>
        <v>NA</v>
      </c>
      <c r="G102" s="225" t="str">
        <f t="shared" si="9"/>
        <v>NA</v>
      </c>
      <c r="H102" s="226">
        <f t="shared" si="10"/>
        <v>9.3533587108134263E-3</v>
      </c>
    </row>
    <row r="103" spans="1:8" x14ac:dyDescent="0.25">
      <c r="A103" s="233" t="s">
        <v>77</v>
      </c>
      <c r="B103" s="225" t="str">
        <f t="shared" si="4"/>
        <v>NA</v>
      </c>
      <c r="C103" s="225">
        <f t="shared" si="5"/>
        <v>1.6526310679611649E-6</v>
      </c>
      <c r="D103" s="225">
        <f t="shared" si="6"/>
        <v>1.2836483906164755E-6</v>
      </c>
      <c r="E103" s="225">
        <f t="shared" si="7"/>
        <v>9.0282525062649216E-8</v>
      </c>
      <c r="F103" s="225" t="str">
        <f t="shared" si="8"/>
        <v>NA</v>
      </c>
      <c r="G103" s="225" t="str">
        <f t="shared" si="9"/>
        <v>NA</v>
      </c>
      <c r="H103" s="226">
        <f t="shared" si="10"/>
        <v>1.0570949055174803E-5</v>
      </c>
    </row>
    <row r="104" spans="1:8" x14ac:dyDescent="0.25">
      <c r="A104" s="234" t="s">
        <v>30</v>
      </c>
      <c r="B104" s="225">
        <f t="shared" si="4"/>
        <v>7.6916399999999992E-4</v>
      </c>
      <c r="C104" s="225" t="str">
        <f t="shared" si="5"/>
        <v>NA</v>
      </c>
      <c r="D104" s="225" t="str">
        <f t="shared" si="6"/>
        <v>NA</v>
      </c>
      <c r="E104" s="225" t="str">
        <f t="shared" si="7"/>
        <v>NA</v>
      </c>
      <c r="F104" s="225">
        <f t="shared" si="8"/>
        <v>4.0958399999999999E-3</v>
      </c>
      <c r="G104" s="225">
        <f t="shared" si="9"/>
        <v>3.5280000000000001E-4</v>
      </c>
      <c r="H104" s="226">
        <f t="shared" si="10"/>
        <v>3.59137032E-3</v>
      </c>
    </row>
    <row r="105" spans="1:8" x14ac:dyDescent="0.25">
      <c r="A105" s="233" t="s">
        <v>78</v>
      </c>
      <c r="B105" s="225" t="str">
        <f t="shared" si="4"/>
        <v>NA</v>
      </c>
      <c r="C105" s="225">
        <f t="shared" si="5"/>
        <v>4.8606796116504852E-7</v>
      </c>
      <c r="D105" s="225">
        <f t="shared" si="6"/>
        <v>3.7754364429896342E-7</v>
      </c>
      <c r="E105" s="225">
        <f t="shared" si="7"/>
        <v>2.6553683841955652E-8</v>
      </c>
      <c r="F105" s="225" t="str">
        <f t="shared" si="8"/>
        <v>NA</v>
      </c>
      <c r="G105" s="225" t="str">
        <f t="shared" si="9"/>
        <v>NA</v>
      </c>
      <c r="H105" s="226">
        <f t="shared" si="10"/>
        <v>3.1091026632867063E-6</v>
      </c>
    </row>
    <row r="106" spans="1:8" x14ac:dyDescent="0.25">
      <c r="A106" s="234" t="s">
        <v>19</v>
      </c>
      <c r="B106" s="225">
        <f t="shared" si="4"/>
        <v>4.5450599999999994E-2</v>
      </c>
      <c r="C106" s="225">
        <f t="shared" si="5"/>
        <v>3.3052621359223292E-4</v>
      </c>
      <c r="D106" s="225">
        <f t="shared" si="6"/>
        <v>2.5672967812329507E-4</v>
      </c>
      <c r="E106" s="225">
        <f t="shared" si="7"/>
        <v>1.8056505012529843E-5</v>
      </c>
      <c r="F106" s="225">
        <f t="shared" si="8"/>
        <v>5.4289200000000003E-3</v>
      </c>
      <c r="G106" s="225">
        <f t="shared" si="9"/>
        <v>8.5890000000000011E-4</v>
      </c>
      <c r="H106" s="226">
        <f t="shared" si="10"/>
        <v>0.20150220881103492</v>
      </c>
    </row>
    <row r="107" spans="1:8" ht="14.25" thickBot="1" x14ac:dyDescent="0.3">
      <c r="A107" s="235" t="s">
        <v>20</v>
      </c>
      <c r="B107" s="227">
        <f t="shared" si="4"/>
        <v>2.2375679999999995E-2</v>
      </c>
      <c r="C107" s="227" t="str">
        <f t="shared" si="5"/>
        <v>NA</v>
      </c>
      <c r="D107" s="227" t="str">
        <f t="shared" si="6"/>
        <v>NA</v>
      </c>
      <c r="E107" s="227" t="str">
        <f t="shared" si="7"/>
        <v>NA</v>
      </c>
      <c r="F107" s="227">
        <f t="shared" si="8"/>
        <v>3.7287600000000002E-3</v>
      </c>
      <c r="G107" s="227">
        <f t="shared" si="9"/>
        <v>5.9849999999999997E-4</v>
      </c>
      <c r="H107" s="434">
        <f t="shared" si="10"/>
        <v>9.8221841399999968E-2</v>
      </c>
    </row>
    <row r="108" spans="1:8" ht="14.25" x14ac:dyDescent="0.3">
      <c r="A108" s="606" t="str">
        <f>'Project HAPS'!A65</f>
        <v>Maximum Emissions (Single HAP)</v>
      </c>
      <c r="B108" s="607"/>
      <c r="C108" s="607"/>
      <c r="D108" s="607"/>
      <c r="E108" s="607"/>
      <c r="F108" s="607"/>
      <c r="G108" s="608"/>
      <c r="H108" s="435">
        <f>MAX(H85:H107)</f>
        <v>4.6408434573493</v>
      </c>
    </row>
    <row r="109" spans="1:8" ht="15" thickBot="1" x14ac:dyDescent="0.35">
      <c r="A109" s="599" t="str">
        <f>'Project HAPS'!A66</f>
        <v>Total HAPs</v>
      </c>
      <c r="B109" s="600"/>
      <c r="C109" s="600"/>
      <c r="D109" s="600"/>
      <c r="E109" s="600"/>
      <c r="F109" s="600"/>
      <c r="G109" s="600"/>
      <c r="H109" s="436">
        <f>SUM(H85:H107)</f>
        <v>6.232022364439608</v>
      </c>
    </row>
    <row r="110" spans="1:8" ht="14.25" x14ac:dyDescent="0.3">
      <c r="A110" s="231" t="str">
        <f>'Project HAPS'!A67</f>
        <v>NA = No Emission Factor Available.</v>
      </c>
      <c r="B110" s="231"/>
      <c r="C110" s="231"/>
      <c r="D110" s="231"/>
      <c r="E110" s="231"/>
      <c r="F110" s="231"/>
      <c r="G110" s="232"/>
      <c r="H110" s="43"/>
    </row>
    <row r="111" spans="1:8" x14ac:dyDescent="0.25">
      <c r="A111" s="230"/>
      <c r="B111" s="230"/>
      <c r="C111" s="230"/>
    </row>
    <row r="112" spans="1:8" ht="15" x14ac:dyDescent="0.25">
      <c r="A112" s="432" t="s">
        <v>157</v>
      </c>
      <c r="B112" s="433">
        <v>1</v>
      </c>
      <c r="C112" s="230"/>
      <c r="H112" s="39"/>
    </row>
    <row r="113" spans="1:8" ht="15" x14ac:dyDescent="0.25">
      <c r="A113" s="432" t="s">
        <v>158</v>
      </c>
      <c r="B113" s="433">
        <v>25</v>
      </c>
      <c r="C113" s="230"/>
      <c r="H113" s="420"/>
    </row>
    <row r="114" spans="1:8" ht="15" x14ac:dyDescent="0.25">
      <c r="A114" s="432" t="s">
        <v>159</v>
      </c>
      <c r="B114" s="433">
        <v>298</v>
      </c>
      <c r="H114" s="421"/>
    </row>
    <row r="115" spans="1:8" ht="15" x14ac:dyDescent="0.25">
      <c r="A115" s="432" t="s">
        <v>304</v>
      </c>
      <c r="B115" s="442">
        <v>22800</v>
      </c>
      <c r="H115" s="420"/>
    </row>
    <row r="116" spans="1:8" x14ac:dyDescent="0.25">
      <c r="A116" s="199"/>
      <c r="B116" s="199"/>
      <c r="H116" s="420"/>
    </row>
    <row r="117" spans="1:8" x14ac:dyDescent="0.25">
      <c r="H117" s="420"/>
    </row>
  </sheetData>
  <mergeCells count="13">
    <mergeCell ref="A109:G109"/>
    <mergeCell ref="A5:A6"/>
    <mergeCell ref="A18:A19"/>
    <mergeCell ref="A32:A33"/>
    <mergeCell ref="B72:C72"/>
    <mergeCell ref="B60:K60"/>
    <mergeCell ref="A59:K59"/>
    <mergeCell ref="A44:A45"/>
    <mergeCell ref="J72:K72"/>
    <mergeCell ref="D72:E72"/>
    <mergeCell ref="F72:G72"/>
    <mergeCell ref="H72:I72"/>
    <mergeCell ref="A108:G108"/>
  </mergeCells>
  <printOptions horizontalCentered="1"/>
  <pageMargins left="0.17" right="0.18" top="1" bottom="1" header="0.5" footer="0.5"/>
  <pageSetup scale="70" orientation="landscape" r:id="rId1"/>
  <headerFooter alignWithMargins="0"/>
  <rowBreaks count="3" manualBreakCount="3">
    <brk id="27" max="16383" man="1"/>
    <brk id="55" max="10" man="1"/>
    <brk id="81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7FFFF"/>
  </sheetPr>
  <dimension ref="A1:BJ116"/>
  <sheetViews>
    <sheetView showGridLines="0" topLeftCell="A34" zoomScale="85" zoomScaleNormal="85" zoomScaleSheetLayoutView="85" zoomScalePageLayoutView="85" workbookViewId="0">
      <pane xSplit="2" topLeftCell="C1" activePane="topRight" state="frozen"/>
      <selection pane="topRight" activeCell="B7" sqref="B7"/>
    </sheetView>
  </sheetViews>
  <sheetFormatPr defaultColWidth="9.140625" defaultRowHeight="12.75" outlineLevelRow="1" x14ac:dyDescent="0.2"/>
  <cols>
    <col min="1" max="1" width="33.85546875" style="328" customWidth="1"/>
    <col min="2" max="2" width="24.42578125" style="328" customWidth="1"/>
    <col min="3" max="29" width="11.85546875" style="329" customWidth="1"/>
    <col min="30" max="32" width="11.85546875" style="556" customWidth="1"/>
    <col min="33" max="62" width="10.7109375" style="329" customWidth="1"/>
    <col min="63" max="16384" width="9.140625" style="328"/>
  </cols>
  <sheetData>
    <row r="1" spans="1:62" x14ac:dyDescent="0.2">
      <c r="A1" s="555" t="s">
        <v>196</v>
      </c>
    </row>
    <row r="2" spans="1:62" ht="12.75" customHeight="1" x14ac:dyDescent="0.2"/>
    <row r="3" spans="1:62" s="330" customFormat="1" ht="12.75" customHeight="1" x14ac:dyDescent="0.2">
      <c r="A3" s="330" t="s">
        <v>197</v>
      </c>
      <c r="C3" s="331">
        <v>1</v>
      </c>
      <c r="D3" s="331">
        <v>2</v>
      </c>
      <c r="E3" s="331">
        <v>3</v>
      </c>
      <c r="F3" s="331">
        <v>4</v>
      </c>
      <c r="G3" s="331">
        <v>5</v>
      </c>
      <c r="H3" s="331">
        <v>6</v>
      </c>
      <c r="I3" s="331">
        <v>7</v>
      </c>
      <c r="J3" s="331">
        <v>8</v>
      </c>
      <c r="K3" s="331">
        <v>9</v>
      </c>
      <c r="L3" s="331">
        <v>10</v>
      </c>
      <c r="M3" s="331">
        <v>11</v>
      </c>
      <c r="N3" s="331">
        <v>12</v>
      </c>
      <c r="O3" s="331">
        <v>13</v>
      </c>
      <c r="P3" s="331">
        <v>14</v>
      </c>
      <c r="Q3" s="331">
        <v>15</v>
      </c>
      <c r="R3" s="331">
        <v>16</v>
      </c>
      <c r="S3" s="331">
        <v>17</v>
      </c>
      <c r="T3" s="331">
        <v>18</v>
      </c>
      <c r="U3" s="331">
        <v>19</v>
      </c>
      <c r="V3" s="331">
        <v>20</v>
      </c>
      <c r="W3" s="331">
        <v>21</v>
      </c>
      <c r="X3" s="331">
        <v>22</v>
      </c>
      <c r="Y3" s="331">
        <v>23</v>
      </c>
      <c r="Z3" s="331">
        <v>24</v>
      </c>
      <c r="AA3" s="331">
        <v>25</v>
      </c>
      <c r="AB3" s="331">
        <v>26</v>
      </c>
      <c r="AC3" s="331">
        <v>27</v>
      </c>
      <c r="AD3" s="331" t="s">
        <v>465</v>
      </c>
      <c r="AE3" s="331" t="s">
        <v>466</v>
      </c>
      <c r="AF3" s="331" t="s">
        <v>467</v>
      </c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331"/>
      <c r="AU3" s="331"/>
      <c r="AV3" s="331"/>
      <c r="AW3" s="331"/>
      <c r="AX3" s="331"/>
      <c r="AY3" s="331"/>
      <c r="AZ3" s="331"/>
      <c r="BA3" s="331"/>
      <c r="BB3" s="331"/>
      <c r="BC3" s="331"/>
      <c r="BD3" s="331"/>
      <c r="BE3" s="331"/>
      <c r="BF3" s="331"/>
      <c r="BG3" s="331"/>
      <c r="BH3" s="331"/>
      <c r="BI3" s="331"/>
      <c r="BJ3" s="331"/>
    </row>
    <row r="4" spans="1:62" ht="12.75" customHeight="1" x14ac:dyDescent="0.2">
      <c r="A4" s="332" t="s">
        <v>198</v>
      </c>
      <c r="C4" s="333" t="s">
        <v>200</v>
      </c>
      <c r="D4" s="333" t="s">
        <v>201</v>
      </c>
      <c r="E4" s="333" t="s">
        <v>199</v>
      </c>
      <c r="F4" s="333" t="s">
        <v>199</v>
      </c>
      <c r="G4" s="333" t="s">
        <v>199</v>
      </c>
      <c r="H4" s="333" t="s">
        <v>468</v>
      </c>
      <c r="I4" s="333" t="s">
        <v>201</v>
      </c>
      <c r="J4" s="333" t="s">
        <v>199</v>
      </c>
      <c r="K4" s="333" t="s">
        <v>199</v>
      </c>
      <c r="L4" s="333" t="s">
        <v>199</v>
      </c>
      <c r="M4" s="333" t="s">
        <v>435</v>
      </c>
      <c r="N4" s="333" t="s">
        <v>201</v>
      </c>
      <c r="O4" s="333" t="s">
        <v>199</v>
      </c>
      <c r="P4" s="333" t="s">
        <v>199</v>
      </c>
      <c r="Q4" s="333" t="s">
        <v>199</v>
      </c>
      <c r="R4" s="333" t="s">
        <v>469</v>
      </c>
      <c r="S4" s="333" t="s">
        <v>199</v>
      </c>
      <c r="T4" s="333" t="s">
        <v>201</v>
      </c>
      <c r="U4" s="333" t="s">
        <v>199</v>
      </c>
      <c r="V4" s="333" t="s">
        <v>199</v>
      </c>
      <c r="W4" s="333" t="s">
        <v>199</v>
      </c>
      <c r="X4" s="333" t="s">
        <v>470</v>
      </c>
      <c r="Y4" s="333" t="s">
        <v>201</v>
      </c>
      <c r="Z4" s="333" t="s">
        <v>199</v>
      </c>
      <c r="AA4" s="333" t="s">
        <v>199</v>
      </c>
      <c r="AB4" s="333" t="s">
        <v>199</v>
      </c>
      <c r="AC4" s="333" t="s">
        <v>199</v>
      </c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33"/>
      <c r="AZ4" s="333"/>
      <c r="BA4" s="333"/>
      <c r="BB4" s="333"/>
      <c r="BC4" s="333"/>
      <c r="BD4" s="333"/>
      <c r="BE4" s="333"/>
      <c r="BF4" s="333"/>
      <c r="BG4" s="333"/>
      <c r="BH4" s="333"/>
      <c r="BI4" s="333"/>
      <c r="BJ4" s="333"/>
    </row>
    <row r="5" spans="1:62" ht="12.75" customHeight="1" x14ac:dyDescent="0.2">
      <c r="A5" s="334" t="s">
        <v>202</v>
      </c>
      <c r="AD5" s="329"/>
      <c r="AE5" s="329"/>
      <c r="AF5" s="329"/>
    </row>
    <row r="6" spans="1:62" ht="12.75" customHeight="1" x14ac:dyDescent="0.2">
      <c r="A6" s="328" t="s">
        <v>203</v>
      </c>
      <c r="B6" s="328" t="s">
        <v>204</v>
      </c>
      <c r="C6" s="329">
        <v>-12.200000000000001</v>
      </c>
      <c r="D6" s="329">
        <v>-12.200000000000001</v>
      </c>
      <c r="E6" s="329">
        <v>-12.200000000000001</v>
      </c>
      <c r="F6" s="329">
        <v>-12.200000000000001</v>
      </c>
      <c r="G6" s="329">
        <v>-12.200000000000001</v>
      </c>
      <c r="H6" s="329">
        <v>32</v>
      </c>
      <c r="I6" s="329">
        <v>32</v>
      </c>
      <c r="J6" s="329">
        <v>32</v>
      </c>
      <c r="K6" s="329">
        <v>32</v>
      </c>
      <c r="L6" s="329">
        <v>32</v>
      </c>
      <c r="M6" s="329">
        <v>53.6</v>
      </c>
      <c r="N6" s="329">
        <v>53</v>
      </c>
      <c r="O6" s="329">
        <v>53.6</v>
      </c>
      <c r="P6" s="329">
        <v>53.6</v>
      </c>
      <c r="Q6" s="329">
        <v>53.6</v>
      </c>
      <c r="R6" s="329">
        <v>87.600000000000009</v>
      </c>
      <c r="S6" s="329">
        <v>87.600000000000009</v>
      </c>
      <c r="T6" s="329">
        <v>87.600000000000009</v>
      </c>
      <c r="U6" s="329">
        <v>87.600000000000009</v>
      </c>
      <c r="V6" s="329">
        <v>87.600000000000009</v>
      </c>
      <c r="W6" s="329">
        <v>87.600000000000009</v>
      </c>
      <c r="X6" s="329">
        <v>99</v>
      </c>
      <c r="Y6" s="329">
        <v>99</v>
      </c>
      <c r="Z6" s="329">
        <v>99</v>
      </c>
      <c r="AA6" s="329">
        <v>99</v>
      </c>
      <c r="AB6" s="329">
        <v>99</v>
      </c>
      <c r="AC6" s="329">
        <v>99</v>
      </c>
      <c r="AD6" s="329">
        <f>MIN(C6:AC6)</f>
        <v>-12.200000000000001</v>
      </c>
      <c r="AE6" s="598">
        <f>AVERAGE(C6:AC6)</f>
        <v>55.037037037037038</v>
      </c>
      <c r="AF6" s="329">
        <f>MAX(C6:AC6)</f>
        <v>99</v>
      </c>
    </row>
    <row r="7" spans="1:62" ht="12.75" customHeight="1" x14ac:dyDescent="0.2">
      <c r="A7" s="328" t="s">
        <v>205</v>
      </c>
      <c r="B7" s="328" t="s">
        <v>206</v>
      </c>
      <c r="C7" s="329">
        <v>14.14</v>
      </c>
      <c r="D7" s="329">
        <v>14.14</v>
      </c>
      <c r="E7" s="329">
        <v>14.14</v>
      </c>
      <c r="F7" s="329">
        <v>14.14</v>
      </c>
      <c r="G7" s="329">
        <v>14.14</v>
      </c>
      <c r="H7" s="329">
        <v>14.14</v>
      </c>
      <c r="I7" s="329">
        <v>14.14</v>
      </c>
      <c r="J7" s="329">
        <v>14.14</v>
      </c>
      <c r="K7" s="329">
        <v>14.14</v>
      </c>
      <c r="L7" s="329">
        <v>14.14</v>
      </c>
      <c r="M7" s="329">
        <v>14.14</v>
      </c>
      <c r="N7" s="329">
        <v>14.14</v>
      </c>
      <c r="O7" s="329">
        <v>14.14</v>
      </c>
      <c r="P7" s="329">
        <v>14.14</v>
      </c>
      <c r="Q7" s="329">
        <v>14.14</v>
      </c>
      <c r="R7" s="329">
        <v>14.14</v>
      </c>
      <c r="S7" s="329">
        <v>14.14</v>
      </c>
      <c r="T7" s="329">
        <v>14.14</v>
      </c>
      <c r="U7" s="329">
        <v>14.14</v>
      </c>
      <c r="V7" s="329">
        <v>14.14</v>
      </c>
      <c r="W7" s="329">
        <v>14.14</v>
      </c>
      <c r="X7" s="329">
        <v>14.14</v>
      </c>
      <c r="Y7" s="329">
        <v>14.14</v>
      </c>
      <c r="Z7" s="329">
        <v>14.14</v>
      </c>
      <c r="AA7" s="329">
        <v>14.14</v>
      </c>
      <c r="AB7" s="329">
        <v>14.14</v>
      </c>
      <c r="AC7" s="329">
        <v>14.14</v>
      </c>
      <c r="AD7" s="329">
        <f t="shared" ref="AD7:AD56" si="0">MIN(C7:AC7)</f>
        <v>14.14</v>
      </c>
      <c r="AE7" s="329">
        <f t="shared" ref="AE7:AE56" si="1">AVERAGE(C7:AC7)</f>
        <v>14.139999999999993</v>
      </c>
      <c r="AF7" s="329">
        <f t="shared" ref="AF7:AF56" si="2">MAX(C7:AC7)</f>
        <v>14.14</v>
      </c>
    </row>
    <row r="8" spans="1:62" ht="12.75" customHeight="1" x14ac:dyDescent="0.2">
      <c r="A8" s="328" t="s">
        <v>207</v>
      </c>
      <c r="B8" s="328" t="s">
        <v>208</v>
      </c>
      <c r="C8" s="329">
        <v>80</v>
      </c>
      <c r="D8" s="329">
        <v>80</v>
      </c>
      <c r="E8" s="329">
        <v>80</v>
      </c>
      <c r="F8" s="329">
        <v>80</v>
      </c>
      <c r="G8" s="329">
        <v>80</v>
      </c>
      <c r="H8" s="329">
        <v>60</v>
      </c>
      <c r="I8" s="329">
        <v>60</v>
      </c>
      <c r="J8" s="329">
        <v>60</v>
      </c>
      <c r="K8" s="329">
        <v>60</v>
      </c>
      <c r="L8" s="329">
        <v>60</v>
      </c>
      <c r="M8" s="329">
        <v>60</v>
      </c>
      <c r="N8" s="329">
        <v>60</v>
      </c>
      <c r="O8" s="329">
        <v>60</v>
      </c>
      <c r="P8" s="329">
        <v>60</v>
      </c>
      <c r="Q8" s="329">
        <v>60</v>
      </c>
      <c r="R8" s="329">
        <v>45.9</v>
      </c>
      <c r="S8" s="329">
        <v>45.9</v>
      </c>
      <c r="T8" s="329">
        <v>45.9</v>
      </c>
      <c r="U8" s="329">
        <v>45.9</v>
      </c>
      <c r="V8" s="329">
        <v>45.9</v>
      </c>
      <c r="W8" s="329">
        <v>45.9</v>
      </c>
      <c r="X8" s="329">
        <v>31.8</v>
      </c>
      <c r="Y8" s="329">
        <v>31.8</v>
      </c>
      <c r="Z8" s="329">
        <v>31.8</v>
      </c>
      <c r="AA8" s="329">
        <v>31.8</v>
      </c>
      <c r="AB8" s="329">
        <v>31.8</v>
      </c>
      <c r="AC8" s="329">
        <v>31.8</v>
      </c>
      <c r="AD8" s="329">
        <f t="shared" si="0"/>
        <v>31.8</v>
      </c>
      <c r="AE8" s="598">
        <f t="shared" si="1"/>
        <v>54.303703703703711</v>
      </c>
      <c r="AF8" s="329">
        <f t="shared" si="2"/>
        <v>80</v>
      </c>
    </row>
    <row r="9" spans="1:62" ht="12.75" customHeight="1" x14ac:dyDescent="0.2">
      <c r="AD9" s="329"/>
      <c r="AE9" s="329"/>
      <c r="AF9" s="329"/>
    </row>
    <row r="10" spans="1:62" ht="12.75" customHeight="1" x14ac:dyDescent="0.2">
      <c r="A10" s="334" t="s">
        <v>209</v>
      </c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  <c r="P10" s="335"/>
      <c r="Q10" s="335"/>
      <c r="R10" s="335"/>
      <c r="S10" s="335"/>
      <c r="T10" s="335"/>
      <c r="U10" s="335"/>
      <c r="V10" s="335"/>
      <c r="W10" s="335"/>
      <c r="X10" s="335"/>
      <c r="Y10" s="335"/>
      <c r="Z10" s="335"/>
      <c r="AA10" s="335"/>
      <c r="AB10" s="335"/>
      <c r="AC10" s="335"/>
      <c r="AD10" s="335"/>
      <c r="AE10" s="335"/>
      <c r="AF10" s="335"/>
      <c r="AG10" s="335"/>
      <c r="AH10" s="335"/>
      <c r="AI10" s="335"/>
      <c r="AJ10" s="335"/>
      <c r="AK10" s="335"/>
      <c r="AL10" s="335"/>
      <c r="AM10" s="335"/>
      <c r="AN10" s="335"/>
      <c r="AO10" s="335"/>
      <c r="AP10" s="335"/>
      <c r="AQ10" s="335"/>
      <c r="AR10" s="335"/>
      <c r="AS10" s="335"/>
      <c r="AT10" s="335"/>
      <c r="AU10" s="335"/>
      <c r="AV10" s="335"/>
      <c r="AW10" s="335"/>
      <c r="AX10" s="335"/>
      <c r="AY10" s="335"/>
      <c r="AZ10" s="335"/>
      <c r="BA10" s="335"/>
      <c r="BB10" s="335"/>
      <c r="BC10" s="335"/>
      <c r="BD10" s="335"/>
      <c r="BE10" s="335"/>
      <c r="BF10" s="335"/>
      <c r="BG10" s="335"/>
      <c r="BH10" s="335"/>
      <c r="BI10" s="335"/>
      <c r="BJ10" s="335"/>
    </row>
    <row r="11" spans="1:62" ht="12.75" customHeight="1" x14ac:dyDescent="0.2">
      <c r="A11" s="328" t="s">
        <v>210</v>
      </c>
      <c r="C11" s="329" t="s">
        <v>211</v>
      </c>
      <c r="D11" s="329" t="s">
        <v>211</v>
      </c>
      <c r="E11" s="329" t="s">
        <v>199</v>
      </c>
      <c r="F11" s="329" t="s">
        <v>199</v>
      </c>
      <c r="G11" s="329" t="s">
        <v>199</v>
      </c>
      <c r="H11" s="329" t="s">
        <v>211</v>
      </c>
      <c r="I11" s="329" t="s">
        <v>211</v>
      </c>
      <c r="J11" s="329" t="s">
        <v>199</v>
      </c>
      <c r="K11" s="329" t="s">
        <v>199</v>
      </c>
      <c r="L11" s="329" t="s">
        <v>199</v>
      </c>
      <c r="M11" s="329" t="s">
        <v>211</v>
      </c>
      <c r="N11" s="329" t="s">
        <v>211</v>
      </c>
      <c r="O11" s="329" t="s">
        <v>199</v>
      </c>
      <c r="P11" s="329" t="s">
        <v>199</v>
      </c>
      <c r="Q11" s="329" t="s">
        <v>199</v>
      </c>
      <c r="R11" s="329" t="s">
        <v>211</v>
      </c>
      <c r="S11" s="329" t="s">
        <v>199</v>
      </c>
      <c r="T11" s="329" t="s">
        <v>211</v>
      </c>
      <c r="U11" s="329" t="s">
        <v>199</v>
      </c>
      <c r="V11" s="329" t="s">
        <v>199</v>
      </c>
      <c r="W11" s="329" t="s">
        <v>199</v>
      </c>
      <c r="X11" s="329" t="s">
        <v>211</v>
      </c>
      <c r="Y11" s="329" t="s">
        <v>211</v>
      </c>
      <c r="Z11" s="329" t="s">
        <v>199</v>
      </c>
      <c r="AA11" s="329" t="s">
        <v>199</v>
      </c>
      <c r="AB11" s="329" t="s">
        <v>199</v>
      </c>
      <c r="AC11" s="329" t="s">
        <v>199</v>
      </c>
      <c r="AD11" s="329"/>
      <c r="AE11" s="329"/>
      <c r="AF11" s="329"/>
    </row>
    <row r="12" spans="1:62" ht="12.75" customHeight="1" x14ac:dyDescent="0.2">
      <c r="A12" s="328" t="s">
        <v>212</v>
      </c>
      <c r="C12" s="329" t="s">
        <v>213</v>
      </c>
      <c r="D12" s="329" t="s">
        <v>213</v>
      </c>
      <c r="E12" s="329" t="s">
        <v>213</v>
      </c>
      <c r="F12" s="329" t="s">
        <v>213</v>
      </c>
      <c r="G12" s="329" t="s">
        <v>213</v>
      </c>
      <c r="H12" s="329" t="s">
        <v>213</v>
      </c>
      <c r="I12" s="329" t="s">
        <v>213</v>
      </c>
      <c r="J12" s="329" t="s">
        <v>213</v>
      </c>
      <c r="K12" s="329" t="s">
        <v>213</v>
      </c>
      <c r="L12" s="329" t="s">
        <v>213</v>
      </c>
      <c r="M12" s="329" t="s">
        <v>213</v>
      </c>
      <c r="N12" s="329" t="s">
        <v>213</v>
      </c>
      <c r="O12" s="329" t="s">
        <v>213</v>
      </c>
      <c r="P12" s="329" t="s">
        <v>213</v>
      </c>
      <c r="Q12" s="329" t="s">
        <v>213</v>
      </c>
      <c r="R12" s="329" t="s">
        <v>213</v>
      </c>
      <c r="S12" s="329" t="s">
        <v>213</v>
      </c>
      <c r="T12" s="329" t="s">
        <v>213</v>
      </c>
      <c r="U12" s="329" t="s">
        <v>213</v>
      </c>
      <c r="V12" s="329" t="s">
        <v>213</v>
      </c>
      <c r="W12" s="329" t="s">
        <v>213</v>
      </c>
      <c r="X12" s="329" t="s">
        <v>213</v>
      </c>
      <c r="Y12" s="329" t="s">
        <v>213</v>
      </c>
      <c r="Z12" s="329" t="s">
        <v>213</v>
      </c>
      <c r="AA12" s="329" t="s">
        <v>213</v>
      </c>
      <c r="AB12" s="329" t="s">
        <v>213</v>
      </c>
      <c r="AC12" s="329" t="s">
        <v>213</v>
      </c>
      <c r="AD12" s="329"/>
      <c r="AE12" s="329"/>
      <c r="AF12" s="329"/>
    </row>
    <row r="13" spans="1:62" ht="12.75" customHeight="1" x14ac:dyDescent="0.2">
      <c r="A13" s="328" t="s">
        <v>214</v>
      </c>
      <c r="C13" s="329" t="s">
        <v>213</v>
      </c>
      <c r="D13" s="329" t="s">
        <v>213</v>
      </c>
      <c r="E13" s="329" t="s">
        <v>213</v>
      </c>
      <c r="F13" s="329" t="s">
        <v>213</v>
      </c>
      <c r="G13" s="329" t="s">
        <v>213</v>
      </c>
      <c r="H13" s="329" t="s">
        <v>213</v>
      </c>
      <c r="I13" s="329" t="s">
        <v>213</v>
      </c>
      <c r="J13" s="329" t="s">
        <v>213</v>
      </c>
      <c r="K13" s="329" t="s">
        <v>213</v>
      </c>
      <c r="L13" s="329" t="s">
        <v>213</v>
      </c>
      <c r="M13" s="329" t="s">
        <v>213</v>
      </c>
      <c r="N13" s="329" t="s">
        <v>213</v>
      </c>
      <c r="O13" s="329" t="s">
        <v>213</v>
      </c>
      <c r="P13" s="329" t="s">
        <v>213</v>
      </c>
      <c r="Q13" s="329" t="s">
        <v>213</v>
      </c>
      <c r="R13" s="329" t="s">
        <v>213</v>
      </c>
      <c r="S13" s="329" t="s">
        <v>213</v>
      </c>
      <c r="T13" s="329" t="s">
        <v>213</v>
      </c>
      <c r="U13" s="329" t="s">
        <v>213</v>
      </c>
      <c r="V13" s="329" t="s">
        <v>213</v>
      </c>
      <c r="W13" s="329" t="s">
        <v>213</v>
      </c>
      <c r="X13" s="329" t="s">
        <v>213</v>
      </c>
      <c r="Y13" s="329" t="s">
        <v>213</v>
      </c>
      <c r="Z13" s="329" t="s">
        <v>213</v>
      </c>
      <c r="AA13" s="329" t="s">
        <v>213</v>
      </c>
      <c r="AB13" s="329" t="s">
        <v>213</v>
      </c>
      <c r="AC13" s="329" t="s">
        <v>213</v>
      </c>
      <c r="AD13" s="329"/>
      <c r="AE13" s="329"/>
      <c r="AF13" s="329"/>
    </row>
    <row r="14" spans="1:62" ht="12.75" customHeight="1" x14ac:dyDescent="0.2">
      <c r="A14" s="336" t="s">
        <v>471</v>
      </c>
      <c r="C14" s="329" t="s">
        <v>472</v>
      </c>
      <c r="D14" s="329" t="s">
        <v>472</v>
      </c>
      <c r="E14" s="329" t="s">
        <v>472</v>
      </c>
      <c r="F14" s="329" t="s">
        <v>472</v>
      </c>
      <c r="G14" s="329" t="s">
        <v>472</v>
      </c>
      <c r="H14" s="329" t="s">
        <v>472</v>
      </c>
      <c r="I14" s="329" t="s">
        <v>472</v>
      </c>
      <c r="J14" s="329" t="s">
        <v>472</v>
      </c>
      <c r="K14" s="329" t="s">
        <v>472</v>
      </c>
      <c r="L14" s="329" t="s">
        <v>472</v>
      </c>
      <c r="M14" s="329" t="s">
        <v>472</v>
      </c>
      <c r="N14" s="329" t="s">
        <v>472</v>
      </c>
      <c r="O14" s="329" t="s">
        <v>472</v>
      </c>
      <c r="P14" s="329" t="s">
        <v>472</v>
      </c>
      <c r="Q14" s="329" t="s">
        <v>472</v>
      </c>
      <c r="R14" s="329" t="s">
        <v>473</v>
      </c>
      <c r="S14" s="329" t="s">
        <v>473</v>
      </c>
      <c r="T14" s="329" t="s">
        <v>472</v>
      </c>
      <c r="U14" s="329" t="s">
        <v>472</v>
      </c>
      <c r="V14" s="329" t="s">
        <v>472</v>
      </c>
      <c r="W14" s="329" t="s">
        <v>472</v>
      </c>
      <c r="X14" s="329" t="s">
        <v>473</v>
      </c>
      <c r="Y14" s="329" t="s">
        <v>472</v>
      </c>
      <c r="Z14" s="329" t="s">
        <v>473</v>
      </c>
      <c r="AA14" s="329" t="s">
        <v>472</v>
      </c>
      <c r="AB14" s="329" t="s">
        <v>472</v>
      </c>
      <c r="AC14" s="329" t="s">
        <v>472</v>
      </c>
      <c r="AD14" s="329"/>
      <c r="AE14" s="329"/>
      <c r="AF14" s="329"/>
    </row>
    <row r="15" spans="1:62" ht="12.75" customHeight="1" x14ac:dyDescent="0.2">
      <c r="A15" s="328" t="s">
        <v>474</v>
      </c>
      <c r="B15" s="328" t="s">
        <v>215</v>
      </c>
      <c r="C15" s="337" t="s">
        <v>321</v>
      </c>
      <c r="D15" s="337" t="s">
        <v>321</v>
      </c>
      <c r="E15" s="337" t="s">
        <v>321</v>
      </c>
      <c r="F15" s="337">
        <v>0.75</v>
      </c>
      <c r="G15" s="337" t="s">
        <v>475</v>
      </c>
      <c r="H15" s="337" t="s">
        <v>321</v>
      </c>
      <c r="I15" s="337" t="s">
        <v>321</v>
      </c>
      <c r="J15" s="337" t="s">
        <v>321</v>
      </c>
      <c r="K15" s="557">
        <v>0.75</v>
      </c>
      <c r="L15" s="337" t="s">
        <v>475</v>
      </c>
      <c r="M15" s="337" t="s">
        <v>321</v>
      </c>
      <c r="N15" s="337" t="s">
        <v>321</v>
      </c>
      <c r="O15" s="337" t="s">
        <v>321</v>
      </c>
      <c r="P15" s="337">
        <v>0.75</v>
      </c>
      <c r="Q15" s="337" t="s">
        <v>475</v>
      </c>
      <c r="R15" s="337" t="s">
        <v>321</v>
      </c>
      <c r="S15" s="337" t="s">
        <v>321</v>
      </c>
      <c r="T15" s="557" t="s">
        <v>321</v>
      </c>
      <c r="U15" s="337" t="s">
        <v>321</v>
      </c>
      <c r="V15" s="557">
        <v>0.75</v>
      </c>
      <c r="W15" s="557" t="s">
        <v>475</v>
      </c>
      <c r="X15" s="557" t="s">
        <v>321</v>
      </c>
      <c r="Y15" s="337" t="s">
        <v>321</v>
      </c>
      <c r="Z15" s="337" t="s">
        <v>321</v>
      </c>
      <c r="AA15" s="337" t="s">
        <v>321</v>
      </c>
      <c r="AB15" s="337">
        <v>0.75</v>
      </c>
      <c r="AC15" s="337" t="s">
        <v>475</v>
      </c>
      <c r="AD15" s="337"/>
      <c r="AE15" s="337"/>
      <c r="AF15" s="337"/>
      <c r="AG15" s="337"/>
      <c r="AH15" s="337"/>
      <c r="AI15" s="337"/>
      <c r="AJ15" s="337"/>
      <c r="AK15" s="337"/>
      <c r="AL15" s="337"/>
      <c r="AM15" s="337"/>
      <c r="AN15" s="337"/>
      <c r="AO15" s="337"/>
      <c r="AP15" s="337"/>
      <c r="AQ15" s="337"/>
      <c r="AR15" s="337"/>
      <c r="AS15" s="337"/>
      <c r="AT15" s="337"/>
      <c r="AU15" s="337"/>
      <c r="AV15" s="337"/>
      <c r="AW15" s="337"/>
      <c r="AX15" s="337"/>
      <c r="AY15" s="337"/>
      <c r="AZ15" s="337"/>
      <c r="BA15" s="337"/>
      <c r="BB15" s="337"/>
      <c r="BC15" s="337"/>
      <c r="BD15" s="337"/>
      <c r="BE15" s="337"/>
      <c r="BF15" s="337"/>
      <c r="BG15" s="337"/>
      <c r="BH15" s="337"/>
      <c r="BI15" s="337"/>
      <c r="BJ15" s="337"/>
    </row>
    <row r="16" spans="1:62" ht="12.75" customHeight="1" x14ac:dyDescent="0.2">
      <c r="A16" s="328" t="s">
        <v>216</v>
      </c>
      <c r="C16" s="329">
        <v>1</v>
      </c>
      <c r="D16" s="329">
        <v>1</v>
      </c>
      <c r="E16" s="329">
        <v>1</v>
      </c>
      <c r="F16" s="329">
        <v>1</v>
      </c>
      <c r="G16" s="329">
        <v>1</v>
      </c>
      <c r="H16" s="329">
        <v>1</v>
      </c>
      <c r="I16" s="329">
        <v>1</v>
      </c>
      <c r="J16" s="329">
        <v>1</v>
      </c>
      <c r="K16" s="329">
        <v>1</v>
      </c>
      <c r="L16" s="329">
        <v>1</v>
      </c>
      <c r="M16" s="329">
        <v>1</v>
      </c>
      <c r="N16" s="329">
        <v>1</v>
      </c>
      <c r="O16" s="329">
        <v>1</v>
      </c>
      <c r="P16" s="329">
        <v>1</v>
      </c>
      <c r="Q16" s="329">
        <v>1</v>
      </c>
      <c r="R16" s="329">
        <v>1</v>
      </c>
      <c r="S16" s="329">
        <v>1</v>
      </c>
      <c r="T16" s="329">
        <v>1</v>
      </c>
      <c r="U16" s="329">
        <v>1</v>
      </c>
      <c r="V16" s="329">
        <v>1</v>
      </c>
      <c r="W16" s="329">
        <v>1</v>
      </c>
      <c r="X16" s="329">
        <v>1</v>
      </c>
      <c r="Y16" s="329">
        <v>1</v>
      </c>
      <c r="Z16" s="329">
        <v>1</v>
      </c>
      <c r="AA16" s="329">
        <v>1</v>
      </c>
      <c r="AB16" s="329">
        <v>1</v>
      </c>
      <c r="AC16" s="329">
        <v>1</v>
      </c>
      <c r="AD16" s="329"/>
      <c r="AE16" s="329"/>
      <c r="AF16" s="329"/>
    </row>
    <row r="17" spans="1:62" ht="12.75" customHeight="1" x14ac:dyDescent="0.2">
      <c r="A17" s="328" t="s">
        <v>322</v>
      </c>
      <c r="C17" s="329" t="s">
        <v>323</v>
      </c>
      <c r="D17" s="329" t="s">
        <v>323</v>
      </c>
      <c r="E17" s="329" t="s">
        <v>323</v>
      </c>
      <c r="F17" s="329" t="s">
        <v>323</v>
      </c>
      <c r="G17" s="329" t="s">
        <v>323</v>
      </c>
      <c r="H17" s="329" t="s">
        <v>323</v>
      </c>
      <c r="I17" s="329" t="s">
        <v>323</v>
      </c>
      <c r="J17" s="329" t="s">
        <v>323</v>
      </c>
      <c r="K17" s="329" t="s">
        <v>323</v>
      </c>
      <c r="L17" s="329" t="s">
        <v>323</v>
      </c>
      <c r="M17" s="329" t="s">
        <v>323</v>
      </c>
      <c r="N17" s="329" t="s">
        <v>323</v>
      </c>
      <c r="O17" s="329" t="s">
        <v>323</v>
      </c>
      <c r="P17" s="329" t="s">
        <v>323</v>
      </c>
      <c r="Q17" s="329" t="s">
        <v>323</v>
      </c>
      <c r="R17" s="329" t="s">
        <v>323</v>
      </c>
      <c r="S17" s="329" t="s">
        <v>323</v>
      </c>
      <c r="T17" s="329" t="s">
        <v>323</v>
      </c>
      <c r="U17" s="329" t="s">
        <v>323</v>
      </c>
      <c r="V17" s="329" t="s">
        <v>323</v>
      </c>
      <c r="W17" s="329" t="s">
        <v>323</v>
      </c>
      <c r="X17" s="329" t="s">
        <v>323</v>
      </c>
      <c r="Y17" s="329" t="s">
        <v>323</v>
      </c>
      <c r="Z17" s="329" t="s">
        <v>323</v>
      </c>
      <c r="AA17" s="329" t="s">
        <v>323</v>
      </c>
      <c r="AB17" s="329" t="s">
        <v>323</v>
      </c>
      <c r="AC17" s="329" t="s">
        <v>323</v>
      </c>
      <c r="AD17" s="329"/>
      <c r="AE17" s="329"/>
      <c r="AF17" s="329"/>
    </row>
    <row r="18" spans="1:62" ht="12.75" customHeight="1" outlineLevel="1" x14ac:dyDescent="0.2">
      <c r="A18" s="328" t="s">
        <v>324</v>
      </c>
      <c r="B18" s="328" t="s">
        <v>325</v>
      </c>
      <c r="C18" s="329">
        <v>0</v>
      </c>
      <c r="D18" s="329">
        <v>0</v>
      </c>
      <c r="E18" s="329">
        <v>0</v>
      </c>
      <c r="F18" s="329">
        <v>0</v>
      </c>
      <c r="G18" s="329">
        <v>0</v>
      </c>
      <c r="H18" s="329">
        <v>0</v>
      </c>
      <c r="I18" s="329">
        <v>0</v>
      </c>
      <c r="J18" s="329">
        <v>0</v>
      </c>
      <c r="K18" s="329">
        <v>0</v>
      </c>
      <c r="L18" s="329">
        <v>0</v>
      </c>
      <c r="M18" s="329">
        <v>0</v>
      </c>
      <c r="N18" s="329">
        <v>0</v>
      </c>
      <c r="O18" s="329">
        <v>0</v>
      </c>
      <c r="P18" s="329">
        <v>0</v>
      </c>
      <c r="Q18" s="329">
        <v>0</v>
      </c>
      <c r="R18" s="329">
        <v>0</v>
      </c>
      <c r="S18" s="329">
        <v>0</v>
      </c>
      <c r="T18" s="329">
        <v>0</v>
      </c>
      <c r="U18" s="329">
        <v>0</v>
      </c>
      <c r="V18" s="329">
        <v>0</v>
      </c>
      <c r="W18" s="329">
        <v>0</v>
      </c>
      <c r="X18" s="329">
        <v>0</v>
      </c>
      <c r="Y18" s="329">
        <v>0</v>
      </c>
      <c r="Z18" s="329">
        <v>0</v>
      </c>
      <c r="AA18" s="329">
        <v>0</v>
      </c>
      <c r="AB18" s="329">
        <v>0</v>
      </c>
      <c r="AC18" s="329">
        <v>0</v>
      </c>
      <c r="AD18" s="329"/>
      <c r="AE18" s="329"/>
      <c r="AF18" s="329"/>
    </row>
    <row r="19" spans="1:62" ht="12.75" customHeight="1" x14ac:dyDescent="0.2">
      <c r="AD19" s="329"/>
      <c r="AE19" s="329"/>
      <c r="AF19" s="329"/>
    </row>
    <row r="20" spans="1:62" s="338" customFormat="1" ht="12.75" customHeight="1" collapsed="1" x14ac:dyDescent="0.2">
      <c r="C20" s="558"/>
      <c r="D20" s="558"/>
      <c r="E20" s="558"/>
      <c r="F20" s="558"/>
      <c r="G20" s="558"/>
      <c r="H20" s="558"/>
      <c r="I20" s="558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39"/>
      <c r="AC20" s="339"/>
      <c r="AD20" s="339"/>
      <c r="AE20" s="339"/>
      <c r="AF20" s="339"/>
      <c r="AG20" s="339"/>
      <c r="AH20" s="339"/>
      <c r="AI20" s="339"/>
      <c r="AJ20" s="339"/>
      <c r="AK20" s="339"/>
      <c r="AL20" s="339"/>
      <c r="AM20" s="339"/>
      <c r="AN20" s="339"/>
      <c r="AO20" s="339"/>
      <c r="AP20" s="339"/>
      <c r="AQ20" s="339"/>
      <c r="AR20" s="339"/>
      <c r="AS20" s="339"/>
      <c r="AT20" s="339"/>
      <c r="AU20" s="339"/>
      <c r="AV20" s="339"/>
      <c r="AW20" s="339"/>
      <c r="AX20" s="339"/>
      <c r="AY20" s="339"/>
      <c r="AZ20" s="339"/>
      <c r="BA20" s="339"/>
      <c r="BB20" s="339"/>
      <c r="BC20" s="339"/>
      <c r="BD20" s="339"/>
      <c r="BE20" s="339"/>
      <c r="BF20" s="339"/>
      <c r="BG20" s="339"/>
      <c r="BH20" s="339"/>
      <c r="BI20" s="339"/>
      <c r="BJ20" s="339"/>
    </row>
    <row r="21" spans="1:62" ht="12.75" customHeight="1" x14ac:dyDescent="0.2">
      <c r="C21" s="340"/>
      <c r="D21" s="340"/>
      <c r="E21" s="340"/>
      <c r="F21" s="340"/>
      <c r="G21" s="340"/>
      <c r="H21" s="340"/>
      <c r="I21" s="340"/>
      <c r="AD21" s="329"/>
      <c r="AE21" s="329"/>
      <c r="AF21" s="329"/>
    </row>
    <row r="22" spans="1:62" ht="12.75" customHeight="1" x14ac:dyDescent="0.2">
      <c r="A22" s="334" t="s">
        <v>217</v>
      </c>
      <c r="AD22" s="329"/>
      <c r="AE22" s="329"/>
      <c r="AF22" s="329"/>
    </row>
    <row r="23" spans="1:62" ht="12.75" customHeight="1" x14ac:dyDescent="0.2">
      <c r="A23" s="328" t="s">
        <v>218</v>
      </c>
      <c r="C23" s="329" t="s">
        <v>219</v>
      </c>
      <c r="D23" s="329" t="s">
        <v>219</v>
      </c>
      <c r="E23" s="329" t="s">
        <v>219</v>
      </c>
      <c r="F23" s="329" t="s">
        <v>219</v>
      </c>
      <c r="G23" s="329" t="s">
        <v>219</v>
      </c>
      <c r="H23" s="329" t="s">
        <v>219</v>
      </c>
      <c r="I23" s="329" t="s">
        <v>219</v>
      </c>
      <c r="J23" s="329" t="s">
        <v>219</v>
      </c>
      <c r="K23" s="329" t="s">
        <v>219</v>
      </c>
      <c r="L23" s="329" t="s">
        <v>219</v>
      </c>
      <c r="M23" s="329" t="s">
        <v>219</v>
      </c>
      <c r="N23" s="329" t="s">
        <v>219</v>
      </c>
      <c r="O23" s="329" t="s">
        <v>219</v>
      </c>
      <c r="P23" s="329" t="s">
        <v>219</v>
      </c>
      <c r="Q23" s="329" t="s">
        <v>219</v>
      </c>
      <c r="R23" s="329" t="s">
        <v>219</v>
      </c>
      <c r="S23" s="329" t="s">
        <v>219</v>
      </c>
      <c r="T23" s="329" t="s">
        <v>219</v>
      </c>
      <c r="U23" s="329" t="s">
        <v>219</v>
      </c>
      <c r="V23" s="329" t="s">
        <v>219</v>
      </c>
      <c r="W23" s="329" t="s">
        <v>219</v>
      </c>
      <c r="X23" s="329" t="s">
        <v>219</v>
      </c>
      <c r="Y23" s="329" t="s">
        <v>219</v>
      </c>
      <c r="Z23" s="329" t="s">
        <v>219</v>
      </c>
      <c r="AA23" s="329" t="s">
        <v>219</v>
      </c>
      <c r="AB23" s="329" t="s">
        <v>219</v>
      </c>
      <c r="AC23" s="329" t="s">
        <v>219</v>
      </c>
      <c r="AD23" s="329"/>
      <c r="AE23" s="329"/>
      <c r="AF23" s="329"/>
    </row>
    <row r="24" spans="1:62" ht="12.75" customHeight="1" outlineLevel="1" x14ac:dyDescent="0.2">
      <c r="A24" s="341" t="s">
        <v>220</v>
      </c>
      <c r="B24" s="341" t="s">
        <v>221</v>
      </c>
      <c r="C24" s="507">
        <v>23482.187209641314</v>
      </c>
      <c r="D24" s="507">
        <v>23482.187209641314</v>
      </c>
      <c r="E24" s="507">
        <v>23482.187209641314</v>
      </c>
      <c r="F24" s="507">
        <v>23482.187209641314</v>
      </c>
      <c r="G24" s="507">
        <v>23482.187209641314</v>
      </c>
      <c r="H24" s="507">
        <v>23482.187209641314</v>
      </c>
      <c r="I24" s="507">
        <v>23482.187209641314</v>
      </c>
      <c r="J24" s="507">
        <v>23482.187209641314</v>
      </c>
      <c r="K24" s="507">
        <v>23482.187209641314</v>
      </c>
      <c r="L24" s="507">
        <v>23482.187209641314</v>
      </c>
      <c r="M24" s="507">
        <v>23482.187209641314</v>
      </c>
      <c r="N24" s="507">
        <v>23482.187209641314</v>
      </c>
      <c r="O24" s="507">
        <v>23482.187209641314</v>
      </c>
      <c r="P24" s="507">
        <v>23482.187209641314</v>
      </c>
      <c r="Q24" s="507">
        <v>23482.187209641314</v>
      </c>
      <c r="R24" s="507">
        <v>23482.187209641314</v>
      </c>
      <c r="S24" s="507">
        <v>23482.187209641314</v>
      </c>
      <c r="T24" s="507">
        <v>23482.187209641314</v>
      </c>
      <c r="U24" s="507">
        <v>23482.187209641314</v>
      </c>
      <c r="V24" s="507">
        <v>23482.187209641314</v>
      </c>
      <c r="W24" s="507">
        <v>23482.187209641314</v>
      </c>
      <c r="X24" s="507">
        <v>23482.187209641314</v>
      </c>
      <c r="Y24" s="507">
        <v>23482.187209641314</v>
      </c>
      <c r="Z24" s="507">
        <v>23482.187209641314</v>
      </c>
      <c r="AA24" s="507">
        <v>23482.187209641314</v>
      </c>
      <c r="AB24" s="507">
        <v>23482.187209641314</v>
      </c>
      <c r="AC24" s="507">
        <v>23482.187209641314</v>
      </c>
      <c r="AD24" s="507">
        <f t="shared" si="0"/>
        <v>23482.187209641314</v>
      </c>
      <c r="AE24" s="507">
        <f t="shared" si="1"/>
        <v>23482.187209641324</v>
      </c>
      <c r="AF24" s="507">
        <f t="shared" si="2"/>
        <v>23482.187209641314</v>
      </c>
      <c r="AG24" s="559"/>
      <c r="AH24" s="559"/>
      <c r="AI24" s="559"/>
      <c r="AJ24" s="559"/>
      <c r="AK24" s="559"/>
      <c r="AL24" s="559"/>
      <c r="AM24" s="559"/>
      <c r="AN24" s="559"/>
      <c r="AO24" s="559"/>
      <c r="AP24" s="559"/>
      <c r="AQ24" s="559"/>
      <c r="AR24" s="559"/>
      <c r="AS24" s="559"/>
      <c r="AT24" s="559"/>
      <c r="AU24" s="559"/>
      <c r="AV24" s="559"/>
      <c r="AW24" s="559"/>
      <c r="AX24" s="559"/>
      <c r="AY24" s="559"/>
      <c r="AZ24" s="559"/>
      <c r="BA24" s="559"/>
      <c r="BB24" s="559"/>
      <c r="BC24" s="559"/>
      <c r="BD24" s="559"/>
      <c r="BE24" s="559"/>
      <c r="BF24" s="559"/>
      <c r="BG24" s="559"/>
      <c r="BH24" s="559"/>
      <c r="BI24" s="559"/>
      <c r="BJ24" s="559"/>
    </row>
    <row r="25" spans="1:62" ht="12.75" customHeight="1" outlineLevel="1" x14ac:dyDescent="0.2">
      <c r="A25" s="341" t="s">
        <v>222</v>
      </c>
      <c r="B25" s="341" t="s">
        <v>221</v>
      </c>
      <c r="C25" s="507">
        <v>21185.2218960102</v>
      </c>
      <c r="D25" s="507">
        <v>21185.2218960102</v>
      </c>
      <c r="E25" s="507">
        <v>21185.2218960102</v>
      </c>
      <c r="F25" s="507">
        <v>21185.2218960102</v>
      </c>
      <c r="G25" s="507">
        <v>21185.2218960102</v>
      </c>
      <c r="H25" s="507">
        <v>21185.2218960102</v>
      </c>
      <c r="I25" s="507">
        <v>21185.2218960102</v>
      </c>
      <c r="J25" s="507">
        <v>21185.2218960102</v>
      </c>
      <c r="K25" s="507">
        <v>21185.2218960102</v>
      </c>
      <c r="L25" s="507">
        <v>21185.2218960102</v>
      </c>
      <c r="M25" s="507">
        <v>21185.2218960102</v>
      </c>
      <c r="N25" s="507">
        <v>21185.2218960102</v>
      </c>
      <c r="O25" s="507">
        <v>21185.2218960102</v>
      </c>
      <c r="P25" s="507">
        <v>21185.2218960102</v>
      </c>
      <c r="Q25" s="507">
        <v>21185.2218960102</v>
      </c>
      <c r="R25" s="507">
        <v>21185.2218960102</v>
      </c>
      <c r="S25" s="507">
        <v>21185.2218960102</v>
      </c>
      <c r="T25" s="507">
        <v>21185.2218960102</v>
      </c>
      <c r="U25" s="507">
        <v>21185.2218960102</v>
      </c>
      <c r="V25" s="507">
        <v>21185.2218960102</v>
      </c>
      <c r="W25" s="507">
        <v>21185.2218960102</v>
      </c>
      <c r="X25" s="507">
        <v>21185.2218960102</v>
      </c>
      <c r="Y25" s="507">
        <v>21185.2218960102</v>
      </c>
      <c r="Z25" s="507">
        <v>21185.2218960102</v>
      </c>
      <c r="AA25" s="507">
        <v>21185.2218960102</v>
      </c>
      <c r="AB25" s="507">
        <v>21185.2218960102</v>
      </c>
      <c r="AC25" s="507">
        <v>21185.2218960102</v>
      </c>
      <c r="AD25" s="507">
        <f t="shared" si="0"/>
        <v>21185.2218960102</v>
      </c>
      <c r="AE25" s="507">
        <f t="shared" si="1"/>
        <v>21185.221896010204</v>
      </c>
      <c r="AF25" s="507">
        <f t="shared" si="2"/>
        <v>21185.2218960102</v>
      </c>
      <c r="AG25" s="559"/>
      <c r="AH25" s="559"/>
      <c r="AI25" s="559"/>
      <c r="AJ25" s="559"/>
      <c r="AK25" s="559"/>
      <c r="AL25" s="559"/>
      <c r="AM25" s="559"/>
      <c r="AN25" s="559"/>
      <c r="AO25" s="559"/>
      <c r="AP25" s="559"/>
      <c r="AQ25" s="559"/>
      <c r="AR25" s="559"/>
      <c r="AS25" s="559"/>
      <c r="AT25" s="559"/>
      <c r="AU25" s="559"/>
      <c r="AV25" s="559"/>
      <c r="AW25" s="559"/>
      <c r="AX25" s="559"/>
      <c r="AY25" s="559"/>
      <c r="AZ25" s="559"/>
      <c r="BA25" s="559"/>
      <c r="BB25" s="559"/>
      <c r="BC25" s="559"/>
      <c r="BD25" s="559"/>
      <c r="BE25" s="559"/>
      <c r="BF25" s="559"/>
      <c r="BG25" s="559"/>
      <c r="BH25" s="559"/>
      <c r="BI25" s="559"/>
      <c r="BJ25" s="559"/>
    </row>
    <row r="26" spans="1:62" ht="12.75" customHeight="1" outlineLevel="1" x14ac:dyDescent="0.2">
      <c r="A26" s="341" t="s">
        <v>223</v>
      </c>
      <c r="B26" s="341" t="s">
        <v>224</v>
      </c>
      <c r="C26" s="560">
        <v>16.9437</v>
      </c>
      <c r="D26" s="560">
        <v>16.9437</v>
      </c>
      <c r="E26" s="560">
        <v>16.9437</v>
      </c>
      <c r="F26" s="560">
        <v>16.9437</v>
      </c>
      <c r="G26" s="560">
        <v>16.9437</v>
      </c>
      <c r="H26" s="560">
        <v>16.9437</v>
      </c>
      <c r="I26" s="560">
        <v>16.9437</v>
      </c>
      <c r="J26" s="560">
        <v>16.9437</v>
      </c>
      <c r="K26" s="560">
        <v>16.9437</v>
      </c>
      <c r="L26" s="560">
        <v>16.9437</v>
      </c>
      <c r="M26" s="560">
        <v>16.9437</v>
      </c>
      <c r="N26" s="560">
        <v>16.9437</v>
      </c>
      <c r="O26" s="560">
        <v>16.9437</v>
      </c>
      <c r="P26" s="560">
        <v>16.9437</v>
      </c>
      <c r="Q26" s="560">
        <v>16.9437</v>
      </c>
      <c r="R26" s="560">
        <v>16.9437</v>
      </c>
      <c r="S26" s="560">
        <v>16.9437</v>
      </c>
      <c r="T26" s="560">
        <v>16.9437</v>
      </c>
      <c r="U26" s="560">
        <v>16.9437</v>
      </c>
      <c r="V26" s="560">
        <v>16.9437</v>
      </c>
      <c r="W26" s="560">
        <v>16.9437</v>
      </c>
      <c r="X26" s="560">
        <v>16.9437</v>
      </c>
      <c r="Y26" s="560">
        <v>16.9437</v>
      </c>
      <c r="Z26" s="560">
        <v>16.9437</v>
      </c>
      <c r="AA26" s="560">
        <v>16.9437</v>
      </c>
      <c r="AB26" s="560">
        <v>16.9437</v>
      </c>
      <c r="AC26" s="560">
        <v>16.9437</v>
      </c>
      <c r="AD26" s="560">
        <f t="shared" si="0"/>
        <v>16.9437</v>
      </c>
      <c r="AE26" s="560">
        <f t="shared" si="1"/>
        <v>16.943699999999993</v>
      </c>
      <c r="AF26" s="560">
        <f t="shared" si="2"/>
        <v>16.9437</v>
      </c>
      <c r="AG26" s="561"/>
      <c r="AH26" s="561"/>
      <c r="AI26" s="561"/>
      <c r="AJ26" s="561"/>
      <c r="AK26" s="561"/>
      <c r="AL26" s="561"/>
      <c r="AM26" s="561"/>
      <c r="AN26" s="561"/>
      <c r="AO26" s="561"/>
      <c r="AP26" s="561"/>
      <c r="AQ26" s="561"/>
      <c r="AR26" s="561"/>
      <c r="AS26" s="561"/>
      <c r="AT26" s="561"/>
      <c r="AU26" s="561"/>
      <c r="AV26" s="561"/>
      <c r="AW26" s="561"/>
      <c r="AX26" s="561"/>
      <c r="AY26" s="561"/>
      <c r="AZ26" s="561"/>
      <c r="BA26" s="561"/>
      <c r="BB26" s="561"/>
      <c r="BC26" s="561"/>
      <c r="BD26" s="561"/>
      <c r="BE26" s="561"/>
      <c r="BF26" s="561"/>
      <c r="BG26" s="561"/>
      <c r="BH26" s="561"/>
      <c r="BI26" s="561"/>
      <c r="BJ26" s="561"/>
    </row>
    <row r="27" spans="1:62" ht="12.75" customHeight="1" x14ac:dyDescent="0.2">
      <c r="A27" s="328" t="s">
        <v>225</v>
      </c>
      <c r="B27" s="328" t="s">
        <v>226</v>
      </c>
      <c r="C27" s="329">
        <v>0</v>
      </c>
      <c r="D27" s="329">
        <v>0</v>
      </c>
      <c r="E27" s="329">
        <v>0</v>
      </c>
      <c r="F27" s="329">
        <v>0</v>
      </c>
      <c r="G27" s="329">
        <v>0</v>
      </c>
      <c r="H27" s="329">
        <v>0</v>
      </c>
      <c r="I27" s="329">
        <v>0</v>
      </c>
      <c r="J27" s="329">
        <v>0</v>
      </c>
      <c r="K27" s="329">
        <v>0</v>
      </c>
      <c r="L27" s="329">
        <v>0</v>
      </c>
      <c r="M27" s="329">
        <v>0</v>
      </c>
      <c r="N27" s="329">
        <v>0</v>
      </c>
      <c r="O27" s="329">
        <v>0</v>
      </c>
      <c r="P27" s="329">
        <v>0</v>
      </c>
      <c r="Q27" s="329">
        <v>0</v>
      </c>
      <c r="R27" s="329">
        <v>0</v>
      </c>
      <c r="S27" s="329">
        <v>0</v>
      </c>
      <c r="T27" s="329">
        <v>0</v>
      </c>
      <c r="U27" s="329">
        <v>0</v>
      </c>
      <c r="V27" s="329">
        <v>0</v>
      </c>
      <c r="W27" s="329">
        <v>0</v>
      </c>
      <c r="X27" s="329">
        <v>0</v>
      </c>
      <c r="Y27" s="329">
        <v>0</v>
      </c>
      <c r="Z27" s="329">
        <v>0</v>
      </c>
      <c r="AA27" s="329">
        <v>0</v>
      </c>
      <c r="AB27" s="329">
        <v>0</v>
      </c>
      <c r="AC27" s="329">
        <v>0</v>
      </c>
      <c r="AD27" s="329">
        <f t="shared" si="0"/>
        <v>0</v>
      </c>
      <c r="AE27" s="329">
        <f t="shared" si="1"/>
        <v>0</v>
      </c>
      <c r="AF27" s="329">
        <f t="shared" si="2"/>
        <v>0</v>
      </c>
    </row>
    <row r="28" spans="1:62" ht="12.75" customHeight="1" outlineLevel="1" x14ac:dyDescent="0.2">
      <c r="A28" s="328" t="s">
        <v>227</v>
      </c>
      <c r="B28" s="328" t="s">
        <v>476</v>
      </c>
      <c r="C28" s="329">
        <v>0.5</v>
      </c>
      <c r="D28" s="329">
        <v>0.5</v>
      </c>
      <c r="E28" s="329">
        <v>0.5</v>
      </c>
      <c r="F28" s="329">
        <v>0.5</v>
      </c>
      <c r="G28" s="329">
        <v>0.5</v>
      </c>
      <c r="H28" s="329">
        <v>0.5</v>
      </c>
      <c r="I28" s="329">
        <v>0.5</v>
      </c>
      <c r="J28" s="329">
        <v>0.5</v>
      </c>
      <c r="K28" s="329">
        <v>0.5</v>
      </c>
      <c r="L28" s="329">
        <v>0.5</v>
      </c>
      <c r="M28" s="329">
        <v>0.5</v>
      </c>
      <c r="N28" s="329">
        <v>0.5</v>
      </c>
      <c r="O28" s="329">
        <v>0.5</v>
      </c>
      <c r="P28" s="329">
        <v>0.5</v>
      </c>
      <c r="Q28" s="329">
        <v>0.5</v>
      </c>
      <c r="R28" s="329">
        <v>0.5</v>
      </c>
      <c r="S28" s="329">
        <v>0.5</v>
      </c>
      <c r="T28" s="329">
        <v>0.5</v>
      </c>
      <c r="U28" s="329">
        <v>0.5</v>
      </c>
      <c r="V28" s="329">
        <v>0.5</v>
      </c>
      <c r="W28" s="329">
        <v>0.5</v>
      </c>
      <c r="X28" s="329">
        <v>0.5</v>
      </c>
      <c r="Y28" s="329">
        <v>0.5</v>
      </c>
      <c r="Z28" s="329">
        <v>0.5</v>
      </c>
      <c r="AA28" s="329">
        <v>0.5</v>
      </c>
      <c r="AB28" s="329">
        <v>0.5</v>
      </c>
      <c r="AC28" s="329">
        <v>0.5</v>
      </c>
      <c r="AD28" s="329">
        <f t="shared" si="0"/>
        <v>0.5</v>
      </c>
      <c r="AE28" s="329">
        <f t="shared" si="1"/>
        <v>0.5</v>
      </c>
      <c r="AF28" s="329">
        <f t="shared" si="2"/>
        <v>0.5</v>
      </c>
    </row>
    <row r="29" spans="1:62" ht="12.75" customHeight="1" outlineLevel="1" x14ac:dyDescent="0.2">
      <c r="AD29" s="329"/>
      <c r="AE29" s="329"/>
      <c r="AF29" s="329"/>
    </row>
    <row r="30" spans="1:62" ht="26.25" customHeight="1" outlineLevel="1" x14ac:dyDescent="0.2">
      <c r="A30" s="343" t="s">
        <v>326</v>
      </c>
      <c r="B30" s="341" t="s">
        <v>496</v>
      </c>
      <c r="C30" s="508">
        <v>3496.2000000000003</v>
      </c>
      <c r="D30" s="508">
        <v>3495.1000000000004</v>
      </c>
      <c r="E30" s="508">
        <v>3495.7000000000003</v>
      </c>
      <c r="F30" s="508">
        <v>2672.9</v>
      </c>
      <c r="G30" s="508">
        <v>1985.2</v>
      </c>
      <c r="H30" s="508">
        <v>3480.2000000000003</v>
      </c>
      <c r="I30" s="508">
        <v>3480</v>
      </c>
      <c r="J30" s="508">
        <v>3480.4</v>
      </c>
      <c r="K30" s="508">
        <v>2597.8000000000002</v>
      </c>
      <c r="L30" s="508">
        <v>1541.2</v>
      </c>
      <c r="M30" s="508">
        <v>3427.6000000000004</v>
      </c>
      <c r="N30" s="508">
        <v>3432</v>
      </c>
      <c r="O30" s="508">
        <v>3428</v>
      </c>
      <c r="P30" s="508">
        <v>2612.6000000000004</v>
      </c>
      <c r="Q30" s="508">
        <v>1505.9</v>
      </c>
      <c r="R30" s="508">
        <v>3306.1000000000004</v>
      </c>
      <c r="S30" s="508">
        <v>3306.5</v>
      </c>
      <c r="T30" s="508">
        <v>3166.5</v>
      </c>
      <c r="U30" s="508">
        <v>3167.1000000000004</v>
      </c>
      <c r="V30" s="508">
        <v>2434.6</v>
      </c>
      <c r="W30" s="508">
        <v>1569</v>
      </c>
      <c r="X30" s="508">
        <v>3278.4</v>
      </c>
      <c r="Y30" s="508">
        <v>3031.5</v>
      </c>
      <c r="Z30" s="508">
        <v>3278.8</v>
      </c>
      <c r="AA30" s="508">
        <v>3032.1000000000004</v>
      </c>
      <c r="AB30" s="508">
        <v>2341.2000000000003</v>
      </c>
      <c r="AC30" s="508">
        <v>1581</v>
      </c>
      <c r="AD30" s="508">
        <f t="shared" si="0"/>
        <v>1505.9</v>
      </c>
      <c r="AE30" s="508">
        <f t="shared" si="1"/>
        <v>2874.9481481481484</v>
      </c>
      <c r="AF30" s="508">
        <f t="shared" si="2"/>
        <v>3496.2000000000003</v>
      </c>
      <c r="AG30" s="559"/>
      <c r="AH30" s="559"/>
      <c r="AI30" s="559"/>
      <c r="AJ30" s="559"/>
      <c r="AK30" s="559"/>
      <c r="AL30" s="559"/>
      <c r="AM30" s="559"/>
      <c r="AN30" s="559"/>
      <c r="AO30" s="559"/>
      <c r="AP30" s="559"/>
      <c r="AQ30" s="559"/>
      <c r="AR30" s="559"/>
      <c r="AS30" s="559"/>
      <c r="AT30" s="559"/>
      <c r="AU30" s="559"/>
      <c r="AV30" s="559"/>
      <c r="AW30" s="559"/>
      <c r="AX30" s="559"/>
      <c r="AY30" s="559"/>
      <c r="AZ30" s="559"/>
      <c r="BA30" s="559"/>
      <c r="BB30" s="559"/>
      <c r="BC30" s="559"/>
      <c r="BD30" s="559"/>
      <c r="BE30" s="559"/>
      <c r="BF30" s="559"/>
      <c r="BG30" s="559"/>
      <c r="BH30" s="559"/>
      <c r="BI30" s="559"/>
      <c r="BJ30" s="559"/>
    </row>
    <row r="31" spans="1:62" ht="12.75" customHeight="1" outlineLevel="1" x14ac:dyDescent="0.2">
      <c r="A31" s="341" t="s">
        <v>228</v>
      </c>
      <c r="B31" s="341" t="s">
        <v>496</v>
      </c>
      <c r="C31" s="342">
        <v>1001.3000000000001</v>
      </c>
      <c r="D31" s="342">
        <v>99.247</v>
      </c>
      <c r="E31" s="342">
        <v>3.7821000000000001E-13</v>
      </c>
      <c r="F31" s="342">
        <v>3.7821000000000001E-13</v>
      </c>
      <c r="G31" s="342">
        <v>3.7821000000000001E-13</v>
      </c>
      <c r="H31" s="342">
        <v>940.41</v>
      </c>
      <c r="I31" s="342">
        <v>99.247</v>
      </c>
      <c r="J31" s="342">
        <v>3.7821000000000001E-13</v>
      </c>
      <c r="K31" s="342">
        <v>3.7821000000000001E-13</v>
      </c>
      <c r="L31" s="342">
        <v>3.7821000000000001E-13</v>
      </c>
      <c r="M31" s="342">
        <v>877.39</v>
      </c>
      <c r="N31" s="342">
        <v>99.247</v>
      </c>
      <c r="O31" s="342">
        <v>3.7821000000000001E-13</v>
      </c>
      <c r="P31" s="342">
        <v>3.7821000000000001E-13</v>
      </c>
      <c r="Q31" s="342">
        <v>3.7821000000000001E-13</v>
      </c>
      <c r="R31" s="342">
        <v>803.21</v>
      </c>
      <c r="S31" s="342">
        <v>3.7821000000000001E-13</v>
      </c>
      <c r="T31" s="342">
        <v>99.247</v>
      </c>
      <c r="U31" s="342">
        <v>3.7821000000000001E-13</v>
      </c>
      <c r="V31" s="342">
        <v>3.7821000000000001E-13</v>
      </c>
      <c r="W31" s="342">
        <v>3.7821000000000001E-13</v>
      </c>
      <c r="X31" s="342">
        <v>913.67000000000007</v>
      </c>
      <c r="Y31" s="342">
        <v>99.247</v>
      </c>
      <c r="Z31" s="342">
        <v>3.7821000000000001E-13</v>
      </c>
      <c r="AA31" s="342">
        <v>3.7821000000000001E-13</v>
      </c>
      <c r="AB31" s="342">
        <v>3.7821000000000001E-13</v>
      </c>
      <c r="AC31" s="342">
        <v>3.7821000000000001E-13</v>
      </c>
      <c r="AD31" s="342">
        <f t="shared" si="0"/>
        <v>3.7821000000000001E-13</v>
      </c>
      <c r="AE31" s="342">
        <f t="shared" si="1"/>
        <v>186.37833333333353</v>
      </c>
      <c r="AF31" s="342">
        <f t="shared" si="2"/>
        <v>1001.3000000000001</v>
      </c>
      <c r="AG31" s="559"/>
      <c r="AH31" s="559"/>
      <c r="AI31" s="559"/>
      <c r="AJ31" s="559"/>
      <c r="AK31" s="559"/>
      <c r="AL31" s="559"/>
      <c r="AM31" s="559"/>
      <c r="AN31" s="559"/>
      <c r="AO31" s="559"/>
      <c r="AP31" s="559"/>
      <c r="AQ31" s="559"/>
      <c r="AR31" s="559"/>
      <c r="AS31" s="559"/>
      <c r="AT31" s="559"/>
      <c r="AU31" s="559"/>
      <c r="AV31" s="559"/>
      <c r="AW31" s="559"/>
      <c r="AX31" s="559"/>
      <c r="AY31" s="559"/>
      <c r="AZ31" s="559"/>
      <c r="BA31" s="559"/>
      <c r="BB31" s="559"/>
      <c r="BC31" s="559"/>
      <c r="BD31" s="559"/>
      <c r="BE31" s="559"/>
      <c r="BF31" s="559"/>
      <c r="BG31" s="559"/>
      <c r="BH31" s="559"/>
      <c r="BI31" s="559"/>
      <c r="BJ31" s="559"/>
    </row>
    <row r="32" spans="1:62" s="338" customFormat="1" ht="12.75" customHeight="1" x14ac:dyDescent="0.2">
      <c r="C32" s="339"/>
      <c r="D32" s="339"/>
      <c r="E32" s="339"/>
      <c r="F32" s="339"/>
      <c r="G32" s="339"/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339"/>
      <c r="S32" s="339"/>
      <c r="T32" s="339"/>
      <c r="U32" s="339"/>
      <c r="V32" s="339"/>
      <c r="W32" s="339"/>
      <c r="X32" s="339"/>
      <c r="Y32" s="339"/>
      <c r="Z32" s="339"/>
      <c r="AA32" s="339"/>
      <c r="AB32" s="339"/>
      <c r="AC32" s="339"/>
      <c r="AD32" s="339"/>
      <c r="AE32" s="339"/>
      <c r="AF32" s="339"/>
      <c r="AG32" s="339"/>
      <c r="AH32" s="339"/>
      <c r="AI32" s="339"/>
      <c r="AJ32" s="339"/>
      <c r="AK32" s="339"/>
      <c r="AL32" s="339"/>
      <c r="AM32" s="339"/>
      <c r="AN32" s="339"/>
      <c r="AO32" s="339"/>
      <c r="AP32" s="339"/>
      <c r="AQ32" s="339"/>
      <c r="AR32" s="339"/>
      <c r="AS32" s="339"/>
      <c r="AT32" s="339"/>
      <c r="AU32" s="339"/>
      <c r="AV32" s="339"/>
      <c r="AW32" s="339"/>
      <c r="AX32" s="339"/>
      <c r="AY32" s="339"/>
      <c r="AZ32" s="339"/>
      <c r="BA32" s="339"/>
      <c r="BB32" s="339"/>
      <c r="BC32" s="339"/>
      <c r="BD32" s="339"/>
      <c r="BE32" s="339"/>
      <c r="BF32" s="339"/>
      <c r="BG32" s="339"/>
      <c r="BH32" s="339"/>
      <c r="BI32" s="339"/>
      <c r="BJ32" s="339"/>
    </row>
    <row r="33" spans="1:62" ht="12.75" customHeight="1" x14ac:dyDescent="0.2">
      <c r="A33" s="341" t="s">
        <v>240</v>
      </c>
      <c r="AD33" s="329"/>
      <c r="AE33" s="329"/>
      <c r="AF33" s="329"/>
    </row>
    <row r="34" spans="1:62" ht="12.75" customHeight="1" x14ac:dyDescent="0.2">
      <c r="AD34" s="329"/>
      <c r="AE34" s="329"/>
      <c r="AF34" s="329"/>
    </row>
    <row r="35" spans="1:62" ht="12.75" customHeight="1" x14ac:dyDescent="0.2">
      <c r="A35" s="334" t="s">
        <v>241</v>
      </c>
      <c r="AD35" s="329"/>
      <c r="AE35" s="329"/>
      <c r="AF35" s="329"/>
    </row>
    <row r="36" spans="1:62" ht="12.75" customHeight="1" x14ac:dyDescent="0.2">
      <c r="A36" s="328" t="s">
        <v>229</v>
      </c>
      <c r="AD36" s="329"/>
      <c r="AE36" s="329"/>
      <c r="AF36" s="329"/>
    </row>
    <row r="37" spans="1:62" ht="12.75" customHeight="1" x14ac:dyDescent="0.2">
      <c r="A37" s="344" t="s">
        <v>230</v>
      </c>
      <c r="B37" s="328" t="s">
        <v>231</v>
      </c>
      <c r="C37" s="340">
        <v>0.87920273154840756</v>
      </c>
      <c r="D37" s="340">
        <v>0.8891080608972054</v>
      </c>
      <c r="E37" s="340">
        <v>0.89020321986142581</v>
      </c>
      <c r="F37" s="340">
        <v>0.89056751457728145</v>
      </c>
      <c r="G37" s="340">
        <v>0.89585359255800012</v>
      </c>
      <c r="H37" s="340">
        <v>0.87654209298298691</v>
      </c>
      <c r="I37" s="340">
        <v>0.88586543417161645</v>
      </c>
      <c r="J37" s="340">
        <v>0.88698058701956772</v>
      </c>
      <c r="K37" s="340">
        <v>0.88747044624952909</v>
      </c>
      <c r="L37" s="340">
        <v>0.89240248084590779</v>
      </c>
      <c r="M37" s="340">
        <v>0.87281221312376589</v>
      </c>
      <c r="N37" s="340">
        <v>0.88168451013882021</v>
      </c>
      <c r="O37" s="340">
        <v>0.88265385935272256</v>
      </c>
      <c r="P37" s="340">
        <v>0.88294038237672046</v>
      </c>
      <c r="Q37" s="340">
        <v>0.88840619283006272</v>
      </c>
      <c r="R37" s="340">
        <v>0.85828721326403812</v>
      </c>
      <c r="S37" s="340">
        <v>0.86740330054627857</v>
      </c>
      <c r="T37" s="340">
        <v>0.87117181053820802</v>
      </c>
      <c r="U37" s="340">
        <v>0.87235083336070718</v>
      </c>
      <c r="V37" s="340">
        <v>0.87324074431880916</v>
      </c>
      <c r="W37" s="340">
        <v>0.87776365378597621</v>
      </c>
      <c r="X37" s="340">
        <v>0.85500067103080646</v>
      </c>
      <c r="Y37" s="340">
        <v>0.87159279096469566</v>
      </c>
      <c r="Z37" s="340">
        <v>0.86540231320159766</v>
      </c>
      <c r="AA37" s="340">
        <v>0.87281522712253978</v>
      </c>
      <c r="AB37" s="340">
        <v>0.8741616963026031</v>
      </c>
      <c r="AC37" s="340">
        <v>0.87815178169936436</v>
      </c>
      <c r="AD37" s="340">
        <f t="shared" si="0"/>
        <v>0.85500067103080646</v>
      </c>
      <c r="AE37" s="340">
        <f t="shared" si="1"/>
        <v>0.87851982795072758</v>
      </c>
      <c r="AF37" s="340">
        <f t="shared" si="2"/>
        <v>0.89585359255800012</v>
      </c>
      <c r="AG37" s="340"/>
      <c r="AH37" s="340"/>
      <c r="AI37" s="340"/>
      <c r="AJ37" s="340"/>
      <c r="AK37" s="340"/>
      <c r="AL37" s="340"/>
      <c r="AM37" s="340"/>
      <c r="AN37" s="340"/>
      <c r="AO37" s="340"/>
      <c r="AP37" s="340"/>
      <c r="AQ37" s="340"/>
      <c r="AR37" s="340"/>
      <c r="AS37" s="340"/>
      <c r="AT37" s="340"/>
      <c r="AU37" s="340"/>
      <c r="AV37" s="340"/>
      <c r="AW37" s="340"/>
      <c r="AX37" s="340"/>
      <c r="AY37" s="340"/>
      <c r="AZ37" s="340"/>
      <c r="BA37" s="340"/>
      <c r="BB37" s="340"/>
      <c r="BC37" s="340"/>
      <c r="BD37" s="340"/>
      <c r="BE37" s="340"/>
      <c r="BF37" s="340"/>
      <c r="BG37" s="340"/>
      <c r="BH37" s="340"/>
      <c r="BI37" s="340"/>
      <c r="BJ37" s="340"/>
    </row>
    <row r="38" spans="1:62" ht="12.75" customHeight="1" x14ac:dyDescent="0.2">
      <c r="A38" s="344" t="s">
        <v>232</v>
      </c>
      <c r="B38" s="328" t="s">
        <v>231</v>
      </c>
      <c r="C38" s="340">
        <v>5.4977332864752411</v>
      </c>
      <c r="D38" s="340">
        <v>4.4241451783173842</v>
      </c>
      <c r="E38" s="340">
        <v>4.3054500134641369</v>
      </c>
      <c r="F38" s="340">
        <v>4.2658115798571101</v>
      </c>
      <c r="G38" s="340">
        <v>3.6906403188970711</v>
      </c>
      <c r="H38" s="340">
        <v>5.4793985871551234</v>
      </c>
      <c r="I38" s="340">
        <v>4.4656314132209145</v>
      </c>
      <c r="J38" s="340">
        <v>4.3443751657719378</v>
      </c>
      <c r="K38" s="340">
        <v>4.2909020620904004</v>
      </c>
      <c r="L38" s="340">
        <v>3.7525204593714911</v>
      </c>
      <c r="M38" s="340">
        <v>5.4190347623058432</v>
      </c>
      <c r="N38" s="340">
        <v>4.4678250722851569</v>
      </c>
      <c r="O38" s="340">
        <v>4.3436566336530715</v>
      </c>
      <c r="P38" s="340">
        <v>4.3122261882183457</v>
      </c>
      <c r="Q38" s="340">
        <v>3.712648343432476</v>
      </c>
      <c r="R38" s="340">
        <v>5.3249522356325265</v>
      </c>
      <c r="S38" s="340">
        <v>4.3109984177032867</v>
      </c>
      <c r="T38" s="340">
        <v>4.393237873099892</v>
      </c>
      <c r="U38" s="340">
        <v>4.2627779640332903</v>
      </c>
      <c r="V38" s="340">
        <v>4.1639227839144679</v>
      </c>
      <c r="W38" s="340">
        <v>3.6614983267624259</v>
      </c>
      <c r="X38" s="340">
        <v>5.4632564281575986</v>
      </c>
      <c r="Y38" s="340">
        <v>4.3758793377314484</v>
      </c>
      <c r="Z38" s="340">
        <v>4.3035489315876312</v>
      </c>
      <c r="AA38" s="340">
        <v>4.2406581126281058</v>
      </c>
      <c r="AB38" s="340">
        <v>4.0911319173097382</v>
      </c>
      <c r="AC38" s="340">
        <v>3.6480305844257668</v>
      </c>
      <c r="AD38" s="340">
        <f t="shared" si="0"/>
        <v>3.6480305844257668</v>
      </c>
      <c r="AE38" s="340">
        <f t="shared" si="1"/>
        <v>4.4078478510185883</v>
      </c>
      <c r="AF38" s="340">
        <f t="shared" si="2"/>
        <v>5.4977332864752411</v>
      </c>
      <c r="AG38" s="340"/>
      <c r="AH38" s="340"/>
      <c r="AI38" s="340"/>
      <c r="AJ38" s="340"/>
      <c r="AK38" s="340"/>
      <c r="AL38" s="340"/>
      <c r="AM38" s="340"/>
      <c r="AN38" s="340"/>
      <c r="AO38" s="340"/>
      <c r="AP38" s="340"/>
      <c r="AQ38" s="340"/>
      <c r="AR38" s="340"/>
      <c r="AS38" s="340"/>
      <c r="AT38" s="340"/>
      <c r="AU38" s="340"/>
      <c r="AV38" s="340"/>
      <c r="AW38" s="340"/>
      <c r="AX38" s="340"/>
      <c r="AY38" s="340"/>
      <c r="AZ38" s="340"/>
      <c r="BA38" s="340"/>
      <c r="BB38" s="340"/>
      <c r="BC38" s="340"/>
      <c r="BD38" s="340"/>
      <c r="BE38" s="340"/>
      <c r="BF38" s="340"/>
      <c r="BG38" s="340"/>
      <c r="BH38" s="340"/>
      <c r="BI38" s="340"/>
      <c r="BJ38" s="340"/>
    </row>
    <row r="39" spans="1:62" ht="12.75" customHeight="1" x14ac:dyDescent="0.2">
      <c r="A39" s="344" t="s">
        <v>233</v>
      </c>
      <c r="B39" s="328" t="s">
        <v>231</v>
      </c>
      <c r="C39" s="340">
        <v>10.780761283074748</v>
      </c>
      <c r="D39" s="340">
        <v>8.6893971883833014</v>
      </c>
      <c r="E39" s="340">
        <v>8.4581934019443477</v>
      </c>
      <c r="F39" s="340">
        <v>8.3802772069411251</v>
      </c>
      <c r="G39" s="340">
        <v>7.2496786425905455</v>
      </c>
      <c r="H39" s="340">
        <v>11.050238673812744</v>
      </c>
      <c r="I39" s="340">
        <v>9.0786731796130482</v>
      </c>
      <c r="J39" s="340">
        <v>8.8428511942564558</v>
      </c>
      <c r="K39" s="340">
        <v>8.7379107438674435</v>
      </c>
      <c r="L39" s="340">
        <v>7.681342039590378</v>
      </c>
      <c r="M39" s="340">
        <v>11.393713278679142</v>
      </c>
      <c r="N39" s="340">
        <v>9.5304738379982918</v>
      </c>
      <c r="O39" s="340">
        <v>9.3075254513983197</v>
      </c>
      <c r="P39" s="340">
        <v>9.2459948034419561</v>
      </c>
      <c r="Q39" s="340">
        <v>8.0722152791723847</v>
      </c>
      <c r="R39" s="340">
        <v>12.865396597146511</v>
      </c>
      <c r="S39" s="340">
        <v>10.915940439371715</v>
      </c>
      <c r="T39" s="340">
        <v>10.588153069392975</v>
      </c>
      <c r="U39" s="340">
        <v>10.336671954903572</v>
      </c>
      <c r="V39" s="340">
        <v>10.14435686510088</v>
      </c>
      <c r="W39" s="340">
        <v>9.1669290309689924</v>
      </c>
      <c r="X39" s="340">
        <v>13.35090276452793</v>
      </c>
      <c r="Y39" s="340">
        <v>10.525801077149399</v>
      </c>
      <c r="Z39" s="340">
        <v>11.12388429632048</v>
      </c>
      <c r="AA39" s="340">
        <v>10.265107760530002</v>
      </c>
      <c r="AB39" s="340">
        <v>9.9741721234396366</v>
      </c>
      <c r="AC39" s="340">
        <v>9.1120223957366662</v>
      </c>
      <c r="AD39" s="340">
        <f t="shared" si="0"/>
        <v>7.2496786425905455</v>
      </c>
      <c r="AE39" s="340">
        <f t="shared" si="1"/>
        <v>9.8099475770130748</v>
      </c>
      <c r="AF39" s="340">
        <f t="shared" si="2"/>
        <v>13.35090276452793</v>
      </c>
      <c r="AG39" s="340"/>
      <c r="AH39" s="340"/>
      <c r="AI39" s="340"/>
      <c r="AJ39" s="340"/>
      <c r="AK39" s="340"/>
      <c r="AL39" s="340"/>
      <c r="AM39" s="340"/>
      <c r="AN39" s="340"/>
      <c r="AO39" s="340"/>
      <c r="AP39" s="340"/>
      <c r="AQ39" s="340"/>
      <c r="AR39" s="340"/>
      <c r="AS39" s="340"/>
      <c r="AT39" s="340"/>
      <c r="AU39" s="340"/>
      <c r="AV39" s="340"/>
      <c r="AW39" s="340"/>
      <c r="AX39" s="340"/>
      <c r="AY39" s="340"/>
      <c r="AZ39" s="340"/>
      <c r="BA39" s="340"/>
      <c r="BB39" s="340"/>
      <c r="BC39" s="340"/>
      <c r="BD39" s="340"/>
      <c r="BE39" s="340"/>
      <c r="BF39" s="340"/>
      <c r="BG39" s="340"/>
      <c r="BH39" s="340"/>
      <c r="BI39" s="340"/>
      <c r="BJ39" s="340"/>
    </row>
    <row r="40" spans="1:62" ht="12.75" customHeight="1" x14ac:dyDescent="0.2">
      <c r="A40" s="344" t="s">
        <v>234</v>
      </c>
      <c r="B40" s="328" t="s">
        <v>231</v>
      </c>
      <c r="C40" s="340">
        <v>73.850201933154096</v>
      </c>
      <c r="D40" s="340">
        <v>74.669735964231023</v>
      </c>
      <c r="E40" s="340">
        <v>74.760338090711798</v>
      </c>
      <c r="F40" s="340">
        <v>74.79081504826884</v>
      </c>
      <c r="G40" s="340">
        <v>75.233049226392225</v>
      </c>
      <c r="H40" s="340">
        <v>73.626259674496765</v>
      </c>
      <c r="I40" s="340">
        <v>74.397591600508022</v>
      </c>
      <c r="J40" s="340">
        <v>74.489851493394596</v>
      </c>
      <c r="K40" s="340">
        <v>74.530832713114563</v>
      </c>
      <c r="L40" s="340">
        <v>74.943442665317903</v>
      </c>
      <c r="M40" s="340">
        <v>73.312393143067339</v>
      </c>
      <c r="N40" s="340">
        <v>74.046550496247562</v>
      </c>
      <c r="O40" s="340">
        <v>74.126544779295003</v>
      </c>
      <c r="P40" s="340">
        <v>74.150514625731759</v>
      </c>
      <c r="Q40" s="340">
        <v>74.6077715518622</v>
      </c>
      <c r="R40" s="340">
        <v>72.091971717775706</v>
      </c>
      <c r="S40" s="340">
        <v>72.84590059617689</v>
      </c>
      <c r="T40" s="340">
        <v>73.163680546050941</v>
      </c>
      <c r="U40" s="340">
        <v>73.261196545117656</v>
      </c>
      <c r="V40" s="340">
        <v>73.33564092566516</v>
      </c>
      <c r="W40" s="340">
        <v>73.713999221503954</v>
      </c>
      <c r="X40" s="340">
        <v>71.817642178018062</v>
      </c>
      <c r="Y40" s="340">
        <v>73.199023742568485</v>
      </c>
      <c r="Z40" s="340">
        <v>72.677861564596896</v>
      </c>
      <c r="AA40" s="340">
        <v>73.300128061459318</v>
      </c>
      <c r="AB40" s="340">
        <v>73.412765373541291</v>
      </c>
      <c r="AC40" s="340">
        <v>73.746551323285516</v>
      </c>
      <c r="AD40" s="340">
        <f t="shared" si="0"/>
        <v>71.817642178018062</v>
      </c>
      <c r="AE40" s="340">
        <f t="shared" si="1"/>
        <v>73.781564992650132</v>
      </c>
      <c r="AF40" s="340">
        <f t="shared" si="2"/>
        <v>75.233049226392225</v>
      </c>
      <c r="AG40" s="340"/>
      <c r="AH40" s="340"/>
      <c r="AI40" s="340"/>
      <c r="AJ40" s="340"/>
      <c r="AK40" s="340"/>
      <c r="AL40" s="340"/>
      <c r="AM40" s="340"/>
      <c r="AN40" s="340"/>
      <c r="AO40" s="340"/>
      <c r="AP40" s="340"/>
      <c r="AQ40" s="340"/>
      <c r="AR40" s="340"/>
      <c r="AS40" s="340"/>
      <c r="AT40" s="340"/>
      <c r="AU40" s="340"/>
      <c r="AV40" s="340"/>
      <c r="AW40" s="340"/>
      <c r="AX40" s="340"/>
      <c r="AY40" s="340"/>
      <c r="AZ40" s="340"/>
      <c r="BA40" s="340"/>
      <c r="BB40" s="340"/>
      <c r="BC40" s="340"/>
      <c r="BD40" s="340"/>
      <c r="BE40" s="340"/>
      <c r="BF40" s="340"/>
      <c r="BG40" s="340"/>
      <c r="BH40" s="340"/>
      <c r="BI40" s="340"/>
      <c r="BJ40" s="340"/>
    </row>
    <row r="41" spans="1:62" ht="12.75" customHeight="1" x14ac:dyDescent="0.2">
      <c r="A41" s="344" t="s">
        <v>235</v>
      </c>
      <c r="B41" s="328" t="s">
        <v>231</v>
      </c>
      <c r="C41" s="340">
        <v>8.9921007657475176</v>
      </c>
      <c r="D41" s="340">
        <v>11.327613608171108</v>
      </c>
      <c r="E41" s="340">
        <v>11.585815274018289</v>
      </c>
      <c r="F41" s="340">
        <v>11.672528650355648</v>
      </c>
      <c r="G41" s="340">
        <v>12.930778219562164</v>
      </c>
      <c r="H41" s="340">
        <v>8.9675609715523805</v>
      </c>
      <c r="I41" s="340">
        <v>11.172238372486392</v>
      </c>
      <c r="J41" s="340">
        <v>11.435941559557433</v>
      </c>
      <c r="K41" s="340">
        <v>11.552884034678069</v>
      </c>
      <c r="L41" s="340">
        <v>12.730292354874312</v>
      </c>
      <c r="M41" s="340">
        <v>9.0020466028239188</v>
      </c>
      <c r="N41" s="340">
        <v>11.07346608333016</v>
      </c>
      <c r="O41" s="340">
        <v>11.33961927630088</v>
      </c>
      <c r="P41" s="340">
        <v>11.408324000231213</v>
      </c>
      <c r="Q41" s="340">
        <v>12.71895863270287</v>
      </c>
      <c r="R41" s="340">
        <v>8.8593922361812147</v>
      </c>
      <c r="S41" s="340">
        <v>11.059757246201826</v>
      </c>
      <c r="T41" s="340">
        <v>10.983756700918009</v>
      </c>
      <c r="U41" s="340">
        <v>11.267002702584778</v>
      </c>
      <c r="V41" s="340">
        <v>11.482838681000684</v>
      </c>
      <c r="W41" s="340">
        <v>12.579809766978636</v>
      </c>
      <c r="X41" s="340">
        <v>8.5131979582656179</v>
      </c>
      <c r="Y41" s="340">
        <v>11.027703051585966</v>
      </c>
      <c r="Z41" s="340">
        <v>11.029302894293394</v>
      </c>
      <c r="AA41" s="340">
        <v>11.321290838260021</v>
      </c>
      <c r="AB41" s="340">
        <v>11.647768889406745</v>
      </c>
      <c r="AC41" s="340">
        <v>12.61524391485268</v>
      </c>
      <c r="AD41" s="340">
        <f t="shared" si="0"/>
        <v>8.5131979582656179</v>
      </c>
      <c r="AE41" s="340">
        <f t="shared" si="1"/>
        <v>11.12211975136748</v>
      </c>
      <c r="AF41" s="340">
        <f t="shared" si="2"/>
        <v>12.930778219562164</v>
      </c>
      <c r="AG41" s="340"/>
      <c r="AH41" s="340"/>
      <c r="AI41" s="340"/>
      <c r="AJ41" s="340"/>
      <c r="AK41" s="340"/>
      <c r="AL41" s="340"/>
      <c r="AM41" s="340"/>
      <c r="AN41" s="340"/>
      <c r="AO41" s="340"/>
      <c r="AP41" s="340"/>
      <c r="AQ41" s="340"/>
      <c r="AR41" s="340"/>
      <c r="AS41" s="340"/>
      <c r="AT41" s="340"/>
      <c r="AU41" s="340"/>
      <c r="AV41" s="340"/>
      <c r="AW41" s="340"/>
      <c r="AX41" s="340"/>
      <c r="AY41" s="340"/>
      <c r="AZ41" s="340"/>
      <c r="BA41" s="340"/>
      <c r="BB41" s="340"/>
      <c r="BC41" s="340"/>
      <c r="BD41" s="340"/>
      <c r="BE41" s="340"/>
      <c r="BF41" s="340"/>
      <c r="BG41" s="340"/>
      <c r="BH41" s="340"/>
      <c r="BI41" s="340"/>
      <c r="BJ41" s="340"/>
    </row>
    <row r="42" spans="1:62" ht="12.75" customHeight="1" x14ac:dyDescent="0.2">
      <c r="A42" s="344" t="s">
        <v>477</v>
      </c>
      <c r="B42" s="328" t="s">
        <v>231</v>
      </c>
      <c r="C42" s="340">
        <f>C41/(1-C39/100)</f>
        <v>10.078656683316531</v>
      </c>
      <c r="D42" s="340">
        <f t="shared" ref="D42:AC42" si="3">D41/(1-D39/100)</f>
        <v>12.40558408265156</v>
      </c>
      <c r="E42" s="340">
        <f t="shared" si="3"/>
        <v>12.656310493072978</v>
      </c>
      <c r="F42" s="340">
        <f t="shared" si="3"/>
        <v>12.740192061834049</v>
      </c>
      <c r="G42" s="340">
        <f t="shared" si="3"/>
        <v>13.941491555305728</v>
      </c>
      <c r="H42" s="340">
        <f t="shared" si="3"/>
        <v>10.081602061491182</v>
      </c>
      <c r="I42" s="340">
        <f t="shared" si="3"/>
        <v>12.287808331874544</v>
      </c>
      <c r="J42" s="340">
        <f t="shared" si="3"/>
        <v>12.545304136187383</v>
      </c>
      <c r="K42" s="340">
        <f t="shared" si="3"/>
        <v>12.659017702579879</v>
      </c>
      <c r="L42" s="340">
        <f t="shared" si="3"/>
        <v>13.789511931958144</v>
      </c>
      <c r="M42" s="340">
        <f t="shared" si="3"/>
        <v>10.159602592462329</v>
      </c>
      <c r="N42" s="340">
        <f t="shared" si="3"/>
        <v>12.239995668266415</v>
      </c>
      <c r="O42" s="340">
        <f t="shared" si="3"/>
        <v>12.503373992981116</v>
      </c>
      <c r="P42" s="340">
        <f t="shared" si="3"/>
        <v>12.570601127214921</v>
      </c>
      <c r="Q42" s="340">
        <f t="shared" si="3"/>
        <v>13.8358154407056</v>
      </c>
      <c r="R42" s="340">
        <f t="shared" si="3"/>
        <v>10.167478694108668</v>
      </c>
      <c r="S42" s="340">
        <f t="shared" si="3"/>
        <v>12.414967729074858</v>
      </c>
      <c r="T42" s="340">
        <f t="shared" si="3"/>
        <v>12.284453434277628</v>
      </c>
      <c r="U42" s="340">
        <f t="shared" si="3"/>
        <v>12.56589839819241</v>
      </c>
      <c r="V42" s="340">
        <f t="shared" si="3"/>
        <v>12.77920704853411</v>
      </c>
      <c r="W42" s="340">
        <f t="shared" si="3"/>
        <v>13.849371856278697</v>
      </c>
      <c r="X42" s="340">
        <f t="shared" si="3"/>
        <v>9.8249124686558389</v>
      </c>
      <c r="Y42" s="340">
        <f t="shared" si="3"/>
        <v>12.325008979509988</v>
      </c>
      <c r="Z42" s="340">
        <f t="shared" si="3"/>
        <v>12.409749016334176</v>
      </c>
      <c r="AA42" s="340">
        <f t="shared" si="3"/>
        <v>12.616375364944538</v>
      </c>
      <c r="AB42" s="340">
        <f t="shared" si="3"/>
        <v>12.938252459480491</v>
      </c>
      <c r="AC42" s="340">
        <f t="shared" si="3"/>
        <v>13.879991883834071</v>
      </c>
      <c r="AD42" s="340">
        <f t="shared" si="0"/>
        <v>9.8249124686558389</v>
      </c>
      <c r="AE42" s="340">
        <f t="shared" si="1"/>
        <v>12.316686488708436</v>
      </c>
      <c r="AF42" s="340">
        <f t="shared" si="2"/>
        <v>13.941491555305728</v>
      </c>
      <c r="AG42" s="340"/>
      <c r="AH42" s="340"/>
      <c r="AI42" s="340"/>
      <c r="AJ42" s="340"/>
      <c r="AK42" s="340"/>
      <c r="AL42" s="340"/>
      <c r="AM42" s="340"/>
      <c r="AN42" s="340"/>
      <c r="AO42" s="340"/>
      <c r="AP42" s="340"/>
      <c r="AQ42" s="340"/>
      <c r="AR42" s="340"/>
      <c r="AS42" s="340"/>
      <c r="AT42" s="340"/>
      <c r="AU42" s="340"/>
      <c r="AV42" s="340"/>
      <c r="AW42" s="340"/>
      <c r="AX42" s="340"/>
      <c r="AY42" s="340"/>
      <c r="AZ42" s="340"/>
      <c r="BA42" s="340"/>
      <c r="BB42" s="340"/>
      <c r="BC42" s="340"/>
      <c r="BD42" s="340"/>
      <c r="BE42" s="340"/>
      <c r="BF42" s="340"/>
      <c r="BG42" s="340"/>
      <c r="BH42" s="340"/>
      <c r="BI42" s="340"/>
      <c r="BJ42" s="340"/>
    </row>
    <row r="43" spans="1:62" ht="12.75" customHeight="1" x14ac:dyDescent="0.2">
      <c r="A43" s="336" t="s">
        <v>242</v>
      </c>
      <c r="B43" s="336"/>
      <c r="C43" s="340">
        <v>28.278534671075153</v>
      </c>
      <c r="D43" s="340">
        <v>28.41015828087048</v>
      </c>
      <c r="E43" s="340">
        <v>28.424708465766358</v>
      </c>
      <c r="F43" s="340">
        <v>28.429657098136726</v>
      </c>
      <c r="G43" s="340">
        <v>28.501463949757312</v>
      </c>
      <c r="H43" s="340">
        <v>28.247365756210261</v>
      </c>
      <c r="I43" s="340">
        <v>28.371297193108891</v>
      </c>
      <c r="J43" s="340">
        <v>28.386121073279078</v>
      </c>
      <c r="K43" s="340">
        <v>28.392778258203627</v>
      </c>
      <c r="L43" s="340">
        <v>28.459804588124943</v>
      </c>
      <c r="M43" s="340">
        <v>28.204301049860064</v>
      </c>
      <c r="N43" s="340">
        <v>28.322044070876071</v>
      </c>
      <c r="O43" s="340">
        <v>28.335195348765414</v>
      </c>
      <c r="P43" s="340">
        <v>28.33909175166507</v>
      </c>
      <c r="Q43" s="340">
        <v>28.413420855840357</v>
      </c>
      <c r="R43" s="340">
        <v>28.034702670931249</v>
      </c>
      <c r="S43" s="340">
        <v>28.156197281949716</v>
      </c>
      <c r="T43" s="340">
        <v>28.199542566441725</v>
      </c>
      <c r="U43" s="340">
        <v>28.215246311198083</v>
      </c>
      <c r="V43" s="340">
        <v>28.227368703489887</v>
      </c>
      <c r="W43" s="340">
        <v>28.28897990443323</v>
      </c>
      <c r="X43" s="340">
        <v>27.994096789796856</v>
      </c>
      <c r="Y43" s="340">
        <v>28.204801257512454</v>
      </c>
      <c r="Z43" s="340">
        <v>28.132764076663172</v>
      </c>
      <c r="AA43" s="340">
        <v>28.22108175584432</v>
      </c>
      <c r="AB43" s="340">
        <v>28.239422640431055</v>
      </c>
      <c r="AC43" s="340">
        <v>28.293773454275719</v>
      </c>
      <c r="AD43" s="340">
        <f t="shared" si="0"/>
        <v>27.994096789796856</v>
      </c>
      <c r="AE43" s="340">
        <f t="shared" si="1"/>
        <v>28.286071104611384</v>
      </c>
      <c r="AF43" s="340">
        <f t="shared" si="2"/>
        <v>28.501463949757312</v>
      </c>
      <c r="AG43" s="340"/>
      <c r="AH43" s="340"/>
      <c r="AI43" s="340"/>
      <c r="AJ43" s="340"/>
      <c r="AK43" s="340"/>
      <c r="AL43" s="340"/>
      <c r="AM43" s="340"/>
      <c r="AN43" s="340"/>
      <c r="AO43" s="340"/>
      <c r="AP43" s="340"/>
      <c r="AQ43" s="340"/>
      <c r="AR43" s="340"/>
      <c r="AS43" s="340"/>
      <c r="AT43" s="340"/>
      <c r="AU43" s="340"/>
      <c r="AV43" s="340"/>
      <c r="AW43" s="340"/>
      <c r="AX43" s="340"/>
      <c r="AY43" s="340"/>
      <c r="AZ43" s="340"/>
      <c r="BA43" s="340"/>
      <c r="BB43" s="340"/>
      <c r="BC43" s="340"/>
      <c r="BD43" s="340"/>
      <c r="BE43" s="340"/>
      <c r="BF43" s="340"/>
      <c r="BG43" s="340"/>
      <c r="BH43" s="340"/>
      <c r="BI43" s="340"/>
      <c r="BJ43" s="340"/>
    </row>
    <row r="44" spans="1:62" ht="12.75" customHeight="1" outlineLevel="1" x14ac:dyDescent="0.2">
      <c r="A44" s="336" t="s">
        <v>243</v>
      </c>
      <c r="B44" s="328" t="s">
        <v>204</v>
      </c>
      <c r="C44" s="345">
        <v>136.03983226046049</v>
      </c>
      <c r="D44" s="345">
        <v>170.90342501175419</v>
      </c>
      <c r="E44" s="345">
        <v>175.94069969535084</v>
      </c>
      <c r="F44" s="345">
        <v>168.03670721764814</v>
      </c>
      <c r="G44" s="345">
        <v>173.83300644620795</v>
      </c>
      <c r="H44" s="345">
        <v>141.38298111081761</v>
      </c>
      <c r="I44" s="345">
        <v>167.89985081064395</v>
      </c>
      <c r="J44" s="345">
        <v>172.62379082976889</v>
      </c>
      <c r="K44" s="345">
        <v>164.56232711728757</v>
      </c>
      <c r="L44" s="345">
        <v>158.28490624017996</v>
      </c>
      <c r="M44" s="345">
        <v>153.67167109084269</v>
      </c>
      <c r="N44" s="345">
        <v>167.71420222115856</v>
      </c>
      <c r="O44" s="345">
        <v>171.05630438857406</v>
      </c>
      <c r="P44" s="345">
        <v>162.75369984031121</v>
      </c>
      <c r="Q44" s="345">
        <v>157.96610260401928</v>
      </c>
      <c r="R44" s="345">
        <v>174.14747955224496</v>
      </c>
      <c r="S44" s="345">
        <v>186.09310259630053</v>
      </c>
      <c r="T44" s="345">
        <v>181.19326541958063</v>
      </c>
      <c r="U44" s="345">
        <v>184.0446584534684</v>
      </c>
      <c r="V44" s="345">
        <v>173.52458069535894</v>
      </c>
      <c r="W44" s="345">
        <v>167.37603073400319</v>
      </c>
      <c r="X44" s="345">
        <v>183.97447892859384</v>
      </c>
      <c r="Y44" s="345">
        <v>186.96975205337418</v>
      </c>
      <c r="Z44" s="345">
        <v>193.45665521675042</v>
      </c>
      <c r="AA44" s="345">
        <v>189.33985432357673</v>
      </c>
      <c r="AB44" s="345">
        <v>180.60389923671136</v>
      </c>
      <c r="AC44" s="345">
        <v>175.2435867903466</v>
      </c>
      <c r="AD44" s="345">
        <f t="shared" si="0"/>
        <v>136.03983226046049</v>
      </c>
      <c r="AE44" s="345">
        <f t="shared" si="1"/>
        <v>171.06062410686425</v>
      </c>
      <c r="AF44" s="345">
        <f t="shared" si="2"/>
        <v>193.45665521675042</v>
      </c>
      <c r="AG44" s="345"/>
      <c r="AH44" s="345"/>
      <c r="AI44" s="345"/>
      <c r="AJ44" s="345"/>
      <c r="AK44" s="345"/>
      <c r="AL44" s="345"/>
      <c r="AM44" s="345"/>
      <c r="AN44" s="345"/>
      <c r="AO44" s="345"/>
      <c r="AP44" s="345"/>
      <c r="AQ44" s="345"/>
      <c r="AR44" s="345"/>
      <c r="AS44" s="345"/>
      <c r="AT44" s="345"/>
      <c r="AU44" s="345"/>
      <c r="AV44" s="345"/>
      <c r="AW44" s="345"/>
      <c r="AX44" s="345"/>
      <c r="AY44" s="345"/>
      <c r="AZ44" s="345"/>
      <c r="BA44" s="345"/>
      <c r="BB44" s="345"/>
      <c r="BC44" s="345"/>
      <c r="BD44" s="345"/>
      <c r="BE44" s="345"/>
      <c r="BF44" s="345"/>
      <c r="BG44" s="345"/>
      <c r="BH44" s="345"/>
      <c r="BI44" s="345"/>
      <c r="BJ44" s="345"/>
    </row>
    <row r="45" spans="1:62" ht="25.5" customHeight="1" outlineLevel="1" x14ac:dyDescent="0.2">
      <c r="A45" s="346" t="s">
        <v>327</v>
      </c>
      <c r="B45" s="328" t="s">
        <v>160</v>
      </c>
      <c r="C45" s="497">
        <v>6173900</v>
      </c>
      <c r="D45" s="497">
        <v>6133700</v>
      </c>
      <c r="E45" s="497">
        <v>6129200</v>
      </c>
      <c r="F45" s="497">
        <v>4731200</v>
      </c>
      <c r="G45" s="497">
        <v>4076300</v>
      </c>
      <c r="H45" s="497">
        <v>6080900</v>
      </c>
      <c r="I45" s="497">
        <v>6043300</v>
      </c>
      <c r="J45" s="497">
        <v>6038900</v>
      </c>
      <c r="K45" s="497">
        <v>4565100</v>
      </c>
      <c r="L45" s="497">
        <v>3107300</v>
      </c>
      <c r="M45" s="497">
        <v>5977400</v>
      </c>
      <c r="N45" s="497">
        <v>5948800</v>
      </c>
      <c r="O45" s="497">
        <v>5938200</v>
      </c>
      <c r="P45" s="497">
        <v>4559500</v>
      </c>
      <c r="Q45" s="497">
        <v>3063900</v>
      </c>
      <c r="R45" s="497">
        <v>5770100</v>
      </c>
      <c r="S45" s="497">
        <v>5734200</v>
      </c>
      <c r="T45" s="497">
        <v>5571000</v>
      </c>
      <c r="U45" s="497">
        <v>5566600</v>
      </c>
      <c r="V45" s="497">
        <v>4383500</v>
      </c>
      <c r="W45" s="497">
        <v>3222700</v>
      </c>
      <c r="X45" s="497">
        <v>5731900</v>
      </c>
      <c r="Y45" s="497">
        <v>5362600</v>
      </c>
      <c r="Z45" s="497">
        <v>5691100</v>
      </c>
      <c r="AA45" s="497">
        <v>5358200</v>
      </c>
      <c r="AB45" s="497">
        <v>4292700</v>
      </c>
      <c r="AC45" s="497">
        <v>3260000</v>
      </c>
      <c r="AD45" s="497">
        <f t="shared" si="0"/>
        <v>3063900</v>
      </c>
      <c r="AE45" s="497">
        <f t="shared" si="1"/>
        <v>5130081.4814814813</v>
      </c>
      <c r="AF45" s="497">
        <f t="shared" si="2"/>
        <v>6173900</v>
      </c>
    </row>
    <row r="46" spans="1:62" outlineLevel="1" x14ac:dyDescent="0.2">
      <c r="A46" s="346" t="s">
        <v>478</v>
      </c>
      <c r="B46" s="328" t="s">
        <v>479</v>
      </c>
      <c r="C46" s="497">
        <f>C45/C43</f>
        <v>218324.60811044095</v>
      </c>
      <c r="D46" s="497">
        <f t="shared" ref="D46:AC46" si="4">D45/D43</f>
        <v>215898.12838635355</v>
      </c>
      <c r="E46" s="497">
        <f t="shared" si="4"/>
        <v>215629.30038075065</v>
      </c>
      <c r="F46" s="497">
        <f t="shared" si="4"/>
        <v>166417.76521145878</v>
      </c>
      <c r="G46" s="497">
        <f t="shared" si="4"/>
        <v>143020.72367881684</v>
      </c>
      <c r="H46" s="497">
        <f t="shared" si="4"/>
        <v>215273.17104474059</v>
      </c>
      <c r="I46" s="497">
        <f t="shared" si="4"/>
        <v>213007.53218530517</v>
      </c>
      <c r="J46" s="497">
        <f t="shared" si="4"/>
        <v>212741.28946362605</v>
      </c>
      <c r="K46" s="497">
        <f t="shared" si="4"/>
        <v>160783.84293657451</v>
      </c>
      <c r="L46" s="497">
        <f t="shared" si="4"/>
        <v>109182.05676284029</v>
      </c>
      <c r="M46" s="497">
        <f t="shared" si="4"/>
        <v>211932.21521189433</v>
      </c>
      <c r="N46" s="497">
        <f t="shared" si="4"/>
        <v>210041.33688631709</v>
      </c>
      <c r="O46" s="497">
        <f t="shared" si="4"/>
        <v>209569.75686630415</v>
      </c>
      <c r="P46" s="497">
        <f t="shared" si="4"/>
        <v>160890.83023389787</v>
      </c>
      <c r="Q46" s="497">
        <f t="shared" si="4"/>
        <v>107832.84475125837</v>
      </c>
      <c r="R46" s="497">
        <f t="shared" si="4"/>
        <v>205819.91069172023</v>
      </c>
      <c r="S46" s="497">
        <f t="shared" si="4"/>
        <v>203656.76311254085</v>
      </c>
      <c r="T46" s="497">
        <f t="shared" si="4"/>
        <v>197556.39606117766</v>
      </c>
      <c r="U46" s="497">
        <f t="shared" si="4"/>
        <v>197290.49814428607</v>
      </c>
      <c r="V46" s="497">
        <f t="shared" si="4"/>
        <v>155292.54767051831</v>
      </c>
      <c r="W46" s="497">
        <f t="shared" si="4"/>
        <v>113920.68610770103</v>
      </c>
      <c r="X46" s="497">
        <f t="shared" si="4"/>
        <v>204753.88232883203</v>
      </c>
      <c r="Y46" s="497">
        <f t="shared" si="4"/>
        <v>190130.74940819346</v>
      </c>
      <c r="Z46" s="497">
        <f t="shared" si="4"/>
        <v>202294.37763354753</v>
      </c>
      <c r="AA46" s="497">
        <f t="shared" si="4"/>
        <v>189865.152808693</v>
      </c>
      <c r="AB46" s="497">
        <f t="shared" si="4"/>
        <v>152010.89819216201</v>
      </c>
      <c r="AC46" s="497">
        <f t="shared" si="4"/>
        <v>115219.69684490256</v>
      </c>
      <c r="AD46" s="497">
        <f t="shared" si="0"/>
        <v>107832.84475125837</v>
      </c>
      <c r="AE46" s="497">
        <f t="shared" si="1"/>
        <v>181420.6281894391</v>
      </c>
      <c r="AF46" s="497">
        <f t="shared" si="2"/>
        <v>218324.60811044095</v>
      </c>
    </row>
    <row r="47" spans="1:62" outlineLevel="1" x14ac:dyDescent="0.2">
      <c r="A47" s="346" t="s">
        <v>480</v>
      </c>
      <c r="B47" s="328" t="s">
        <v>481</v>
      </c>
      <c r="C47" s="497">
        <f>C46*(1-C39/100)</f>
        <v>194787.55328784586</v>
      </c>
      <c r="D47" s="497">
        <f t="shared" ref="D47:AC47" si="5">D46*(1-D39/100)</f>
        <v>197137.88248857757</v>
      </c>
      <c r="E47" s="497">
        <f t="shared" si="5"/>
        <v>197390.95712328723</v>
      </c>
      <c r="F47" s="497">
        <f t="shared" si="5"/>
        <v>152471.49516514211</v>
      </c>
      <c r="G47" s="497">
        <f t="shared" si="5"/>
        <v>132652.18081979523</v>
      </c>
      <c r="H47" s="497">
        <f t="shared" si="5"/>
        <v>191484.97184361162</v>
      </c>
      <c r="I47" s="497">
        <f t="shared" si="5"/>
        <v>193669.27449024224</v>
      </c>
      <c r="J47" s="497">
        <f t="shared" si="5"/>
        <v>193928.89380761521</v>
      </c>
      <c r="K47" s="497">
        <f t="shared" si="5"/>
        <v>146734.69425021659</v>
      </c>
      <c r="L47" s="497">
        <f t="shared" si="5"/>
        <v>100795.40953702682</v>
      </c>
      <c r="M47" s="497">
        <f t="shared" si="5"/>
        <v>187785.26626549786</v>
      </c>
      <c r="N47" s="497">
        <f t="shared" si="5"/>
        <v>190023.40222538478</v>
      </c>
      <c r="O47" s="497">
        <f t="shared" si="5"/>
        <v>190063.9984075393</v>
      </c>
      <c r="P47" s="497">
        <f t="shared" si="5"/>
        <v>146014.87243125704</v>
      </c>
      <c r="Q47" s="497">
        <f t="shared" si="5"/>
        <v>99128.345381281048</v>
      </c>
      <c r="R47" s="497">
        <f t="shared" si="5"/>
        <v>179340.36290533765</v>
      </c>
      <c r="S47" s="497">
        <f t="shared" si="5"/>
        <v>181425.71215042353</v>
      </c>
      <c r="T47" s="497">
        <f t="shared" si="5"/>
        <v>176638.82244784391</v>
      </c>
      <c r="U47" s="497">
        <f t="shared" si="5"/>
        <v>176897.22655291611</v>
      </c>
      <c r="V47" s="497">
        <f t="shared" si="5"/>
        <v>139539.11744991402</v>
      </c>
      <c r="W47" s="497">
        <f t="shared" si="5"/>
        <v>103477.65766061512</v>
      </c>
      <c r="X47" s="497">
        <f t="shared" si="5"/>
        <v>177417.39059251372</v>
      </c>
      <c r="Y47" s="497">
        <f t="shared" si="5"/>
        <v>170117.96493899359</v>
      </c>
      <c r="Z47" s="497">
        <f t="shared" si="5"/>
        <v>179791.38512763008</v>
      </c>
      <c r="AA47" s="497">
        <f t="shared" si="5"/>
        <v>170375.2902731857</v>
      </c>
      <c r="AB47" s="497">
        <f t="shared" si="5"/>
        <v>136849.06956008918</v>
      </c>
      <c r="AC47" s="497">
        <f t="shared" si="5"/>
        <v>104720.85226409514</v>
      </c>
      <c r="AD47" s="497">
        <f t="shared" si="0"/>
        <v>99128.345381281048</v>
      </c>
      <c r="AE47" s="497">
        <f t="shared" si="1"/>
        <v>163357.77960918064</v>
      </c>
      <c r="AF47" s="497">
        <f t="shared" si="2"/>
        <v>197390.95712328723</v>
      </c>
    </row>
    <row r="48" spans="1:62" outlineLevel="1" x14ac:dyDescent="0.2">
      <c r="A48" s="346" t="s">
        <v>482</v>
      </c>
      <c r="B48" s="328" t="s">
        <v>483</v>
      </c>
      <c r="C48" s="497">
        <f>C47*(20.9-C42)/(20.9-15)</f>
        <v>357264.91321094171</v>
      </c>
      <c r="D48" s="497">
        <f t="shared" ref="D48:AC48" si="6">D47*(20.9-D42)/(20.9-15)</f>
        <v>283825.62151243049</v>
      </c>
      <c r="E48" s="497">
        <f t="shared" si="6"/>
        <v>275801.65457619063</v>
      </c>
      <c r="F48" s="497">
        <f t="shared" si="6"/>
        <v>210870.86721907766</v>
      </c>
      <c r="G48" s="497">
        <f t="shared" si="6"/>
        <v>156451.07126129777</v>
      </c>
      <c r="H48" s="497">
        <f t="shared" si="6"/>
        <v>351111.97027938091</v>
      </c>
      <c r="I48" s="497">
        <f t="shared" si="6"/>
        <v>282697.781718096</v>
      </c>
      <c r="J48" s="497">
        <f t="shared" si="6"/>
        <v>274613.0384691931</v>
      </c>
      <c r="K48" s="497">
        <f t="shared" si="6"/>
        <v>204955.59622599816</v>
      </c>
      <c r="L48" s="497">
        <f t="shared" si="6"/>
        <v>121475.34861464772</v>
      </c>
      <c r="M48" s="497">
        <f t="shared" si="6"/>
        <v>341845.48931724147</v>
      </c>
      <c r="N48" s="497">
        <f t="shared" si="6"/>
        <v>278915.84515298059</v>
      </c>
      <c r="O48" s="497">
        <f t="shared" si="6"/>
        <v>270490.90034351533</v>
      </c>
      <c r="P48" s="497">
        <f t="shared" si="6"/>
        <v>206138.32437945248</v>
      </c>
      <c r="Q48" s="497">
        <f t="shared" si="6"/>
        <v>118688.29268319457</v>
      </c>
      <c r="R48" s="497">
        <f t="shared" si="6"/>
        <v>326232.92642166442</v>
      </c>
      <c r="S48" s="497">
        <f t="shared" si="6"/>
        <v>260915.76650371513</v>
      </c>
      <c r="T48" s="497">
        <f t="shared" si="6"/>
        <v>257938.98307012976</v>
      </c>
      <c r="U48" s="497">
        <f t="shared" si="6"/>
        <v>249877.87443558956</v>
      </c>
      <c r="V48" s="497">
        <f t="shared" si="6"/>
        <v>192062.42058322593</v>
      </c>
      <c r="W48" s="497">
        <f t="shared" si="6"/>
        <v>123658.04836411717</v>
      </c>
      <c r="X48" s="497">
        <f t="shared" si="6"/>
        <v>333036.12379572302</v>
      </c>
      <c r="Y48" s="497">
        <f t="shared" si="6"/>
        <v>247247.46131794999</v>
      </c>
      <c r="Z48" s="497">
        <f t="shared" si="6"/>
        <v>258724.40414144107</v>
      </c>
      <c r="AA48" s="497">
        <f t="shared" si="6"/>
        <v>239207.61893418414</v>
      </c>
      <c r="AB48" s="497">
        <f t="shared" si="6"/>
        <v>184670.8038970209</v>
      </c>
      <c r="AC48" s="497">
        <f t="shared" si="6"/>
        <v>124600.20895351884</v>
      </c>
      <c r="AD48" s="497">
        <f t="shared" si="0"/>
        <v>118688.29268319457</v>
      </c>
      <c r="AE48" s="497">
        <f t="shared" si="1"/>
        <v>241974.79094007102</v>
      </c>
      <c r="AF48" s="497">
        <f t="shared" si="2"/>
        <v>357264.91321094171</v>
      </c>
    </row>
    <row r="49" spans="1:62" ht="12.75" customHeight="1" outlineLevel="1" x14ac:dyDescent="0.2">
      <c r="A49" s="328" t="s">
        <v>244</v>
      </c>
      <c r="B49" s="328" t="s">
        <v>245</v>
      </c>
      <c r="C49" s="497">
        <v>98710000</v>
      </c>
      <c r="D49" s="497">
        <v>103320000</v>
      </c>
      <c r="E49" s="497">
        <v>104020000</v>
      </c>
      <c r="F49" s="497">
        <v>79282000</v>
      </c>
      <c r="G49" s="497">
        <v>68766000</v>
      </c>
      <c r="H49" s="497">
        <v>98203000</v>
      </c>
      <c r="I49" s="497">
        <v>101460000</v>
      </c>
      <c r="J49" s="497">
        <v>102090000</v>
      </c>
      <c r="K49" s="497">
        <v>76175000</v>
      </c>
      <c r="L49" s="497">
        <v>51207000</v>
      </c>
      <c r="M49" s="497">
        <v>98655000</v>
      </c>
      <c r="N49" s="497">
        <v>100010000</v>
      </c>
      <c r="O49" s="497">
        <v>100320000</v>
      </c>
      <c r="P49" s="497">
        <v>76005000</v>
      </c>
      <c r="Q49" s="497">
        <v>50548000</v>
      </c>
      <c r="R49" s="497">
        <v>99009000</v>
      </c>
      <c r="S49" s="497">
        <v>99815000</v>
      </c>
      <c r="T49" s="497">
        <v>96089000</v>
      </c>
      <c r="U49" s="497">
        <v>96387000</v>
      </c>
      <c r="V49" s="497">
        <v>74630000</v>
      </c>
      <c r="W49" s="497">
        <v>54216000</v>
      </c>
      <c r="X49" s="497">
        <v>100020000</v>
      </c>
      <c r="Y49" s="497">
        <v>93312000</v>
      </c>
      <c r="Z49" s="497">
        <v>100280000</v>
      </c>
      <c r="AA49" s="497">
        <v>93522000</v>
      </c>
      <c r="AB49" s="497">
        <v>73869000</v>
      </c>
      <c r="AC49" s="497">
        <v>55522000</v>
      </c>
      <c r="AD49" s="497">
        <f t="shared" si="0"/>
        <v>50548000</v>
      </c>
      <c r="AE49" s="497">
        <f t="shared" si="1"/>
        <v>86868222.222222224</v>
      </c>
      <c r="AF49" s="497">
        <f t="shared" si="2"/>
        <v>104020000</v>
      </c>
    </row>
    <row r="50" spans="1:62" ht="12.75" customHeight="1" outlineLevel="1" x14ac:dyDescent="0.2">
      <c r="A50" s="328" t="s">
        <v>244</v>
      </c>
      <c r="B50" s="328" t="s">
        <v>444</v>
      </c>
      <c r="C50" s="497">
        <f>C49/60</f>
        <v>1645166.6666666667</v>
      </c>
      <c r="D50" s="497">
        <f t="shared" ref="D50:AC50" si="7">D49/60</f>
        <v>1722000</v>
      </c>
      <c r="E50" s="497">
        <f t="shared" si="7"/>
        <v>1733666.6666666667</v>
      </c>
      <c r="F50" s="497">
        <f t="shared" si="7"/>
        <v>1321366.6666666667</v>
      </c>
      <c r="G50" s="497">
        <f t="shared" si="7"/>
        <v>1146100</v>
      </c>
      <c r="H50" s="497">
        <f t="shared" si="7"/>
        <v>1636716.6666666667</v>
      </c>
      <c r="I50" s="497">
        <f t="shared" si="7"/>
        <v>1691000</v>
      </c>
      <c r="J50" s="497">
        <f t="shared" si="7"/>
        <v>1701500</v>
      </c>
      <c r="K50" s="497">
        <f t="shared" si="7"/>
        <v>1269583.3333333333</v>
      </c>
      <c r="L50" s="497">
        <f t="shared" si="7"/>
        <v>853450</v>
      </c>
      <c r="M50" s="497">
        <f t="shared" si="7"/>
        <v>1644250</v>
      </c>
      <c r="N50" s="497">
        <f t="shared" si="7"/>
        <v>1666833.3333333333</v>
      </c>
      <c r="O50" s="497">
        <f t="shared" si="7"/>
        <v>1672000</v>
      </c>
      <c r="P50" s="497">
        <f t="shared" si="7"/>
        <v>1266750</v>
      </c>
      <c r="Q50" s="497">
        <f t="shared" si="7"/>
        <v>842466.66666666663</v>
      </c>
      <c r="R50" s="497">
        <f t="shared" si="7"/>
        <v>1650150</v>
      </c>
      <c r="S50" s="497">
        <f t="shared" si="7"/>
        <v>1663583.3333333333</v>
      </c>
      <c r="T50" s="497">
        <f t="shared" si="7"/>
        <v>1601483.3333333333</v>
      </c>
      <c r="U50" s="497">
        <f t="shared" si="7"/>
        <v>1606450</v>
      </c>
      <c r="V50" s="497">
        <f t="shared" si="7"/>
        <v>1243833.3333333333</v>
      </c>
      <c r="W50" s="497">
        <f t="shared" si="7"/>
        <v>903600</v>
      </c>
      <c r="X50" s="497">
        <f t="shared" si="7"/>
        <v>1667000</v>
      </c>
      <c r="Y50" s="497">
        <f t="shared" si="7"/>
        <v>1555200</v>
      </c>
      <c r="Z50" s="497">
        <f t="shared" si="7"/>
        <v>1671333.3333333333</v>
      </c>
      <c r="AA50" s="497">
        <f t="shared" si="7"/>
        <v>1558700</v>
      </c>
      <c r="AB50" s="497">
        <f t="shared" si="7"/>
        <v>1231150</v>
      </c>
      <c r="AC50" s="497">
        <f t="shared" si="7"/>
        <v>925366.66666666663</v>
      </c>
      <c r="AD50" s="497">
        <f t="shared" ref="AD50" si="8">MIN(C50:AC50)</f>
        <v>842466.66666666663</v>
      </c>
      <c r="AE50" s="497">
        <f t="shared" ref="AE50" si="9">AVERAGE(C50:AC50)</f>
        <v>1447803.7037037036</v>
      </c>
      <c r="AF50" s="497">
        <f t="shared" ref="AF50" si="10">MAX(C50:AC50)</f>
        <v>1733666.6666666667</v>
      </c>
    </row>
    <row r="51" spans="1:62" ht="12.75" customHeight="1" outlineLevel="1" x14ac:dyDescent="0.2">
      <c r="C51" s="497"/>
      <c r="D51" s="497"/>
      <c r="E51" s="497"/>
      <c r="F51" s="497"/>
      <c r="G51" s="497"/>
      <c r="H51" s="497"/>
      <c r="I51" s="497"/>
      <c r="J51" s="497"/>
      <c r="K51" s="497"/>
      <c r="L51" s="497"/>
      <c r="M51" s="497"/>
      <c r="N51" s="497"/>
      <c r="O51" s="497"/>
      <c r="P51" s="497"/>
      <c r="Q51" s="497"/>
      <c r="R51" s="497"/>
      <c r="S51" s="497"/>
      <c r="T51" s="497"/>
      <c r="U51" s="497"/>
      <c r="V51" s="497"/>
      <c r="W51" s="497"/>
      <c r="X51" s="497"/>
      <c r="Y51" s="497"/>
      <c r="Z51" s="497"/>
      <c r="AA51" s="497"/>
      <c r="AB51" s="497"/>
      <c r="AC51" s="497"/>
      <c r="AD51" s="497"/>
      <c r="AE51" s="497"/>
      <c r="AF51" s="497"/>
    </row>
    <row r="52" spans="1:62" ht="12.75" customHeight="1" x14ac:dyDescent="0.2">
      <c r="A52" s="334" t="s">
        <v>246</v>
      </c>
      <c r="AD52" s="329"/>
      <c r="AE52" s="329"/>
      <c r="AF52" s="329"/>
    </row>
    <row r="53" spans="1:62" ht="12.75" customHeight="1" outlineLevel="1" x14ac:dyDescent="0.2">
      <c r="A53" s="328" t="s">
        <v>247</v>
      </c>
      <c r="B53" s="328" t="s">
        <v>236</v>
      </c>
      <c r="C53" s="347">
        <v>2</v>
      </c>
      <c r="D53" s="347">
        <v>2</v>
      </c>
      <c r="E53" s="347">
        <v>2</v>
      </c>
      <c r="F53" s="347">
        <v>2</v>
      </c>
      <c r="G53" s="347">
        <v>2</v>
      </c>
      <c r="H53" s="347">
        <v>2</v>
      </c>
      <c r="I53" s="347">
        <v>2</v>
      </c>
      <c r="J53" s="347">
        <v>2</v>
      </c>
      <c r="K53" s="347">
        <v>2</v>
      </c>
      <c r="L53" s="347">
        <v>2</v>
      </c>
      <c r="M53" s="347">
        <v>2</v>
      </c>
      <c r="N53" s="347">
        <v>2</v>
      </c>
      <c r="O53" s="347">
        <v>2</v>
      </c>
      <c r="P53" s="347">
        <v>2</v>
      </c>
      <c r="Q53" s="347">
        <v>2</v>
      </c>
      <c r="R53" s="347">
        <v>2</v>
      </c>
      <c r="S53" s="347">
        <v>2</v>
      </c>
      <c r="T53" s="347">
        <v>2</v>
      </c>
      <c r="U53" s="347">
        <v>2</v>
      </c>
      <c r="V53" s="347">
        <v>2</v>
      </c>
      <c r="W53" s="347">
        <v>2</v>
      </c>
      <c r="X53" s="347">
        <v>2</v>
      </c>
      <c r="Y53" s="347">
        <v>2</v>
      </c>
      <c r="Z53" s="347">
        <v>2</v>
      </c>
      <c r="AA53" s="347">
        <v>2</v>
      </c>
      <c r="AB53" s="347">
        <v>2</v>
      </c>
      <c r="AC53" s="347">
        <v>2</v>
      </c>
      <c r="AD53" s="347">
        <f t="shared" si="0"/>
        <v>2</v>
      </c>
      <c r="AE53" s="347">
        <f t="shared" si="1"/>
        <v>2</v>
      </c>
      <c r="AF53" s="347">
        <f t="shared" si="2"/>
        <v>2</v>
      </c>
      <c r="AG53" s="347"/>
      <c r="AH53" s="347"/>
      <c r="AI53" s="347"/>
      <c r="AJ53" s="347"/>
      <c r="AK53" s="347"/>
      <c r="AL53" s="347"/>
      <c r="AM53" s="347"/>
      <c r="AN53" s="347"/>
      <c r="AO53" s="347"/>
      <c r="AP53" s="347"/>
      <c r="AQ53" s="347"/>
      <c r="AR53" s="347"/>
      <c r="AS53" s="347"/>
      <c r="AT53" s="347"/>
      <c r="AU53" s="347"/>
      <c r="AV53" s="347"/>
      <c r="AW53" s="347"/>
      <c r="AX53" s="347"/>
      <c r="AY53" s="347"/>
      <c r="AZ53" s="347"/>
      <c r="BA53" s="347"/>
      <c r="BB53" s="347"/>
      <c r="BC53" s="347"/>
      <c r="BD53" s="347"/>
      <c r="BE53" s="347"/>
      <c r="BF53" s="347"/>
      <c r="BG53" s="347"/>
      <c r="BH53" s="347"/>
      <c r="BI53" s="347"/>
      <c r="BJ53" s="347"/>
    </row>
    <row r="54" spans="1:62" ht="12.75" customHeight="1" outlineLevel="1" x14ac:dyDescent="0.2">
      <c r="A54" s="328" t="s">
        <v>247</v>
      </c>
      <c r="B54" s="328" t="s">
        <v>237</v>
      </c>
      <c r="C54" s="347">
        <v>32.9</v>
      </c>
      <c r="D54" s="347">
        <v>26.1</v>
      </c>
      <c r="E54" s="347">
        <v>25.400000000000002</v>
      </c>
      <c r="F54" s="347">
        <v>19.400000000000002</v>
      </c>
      <c r="G54" s="347">
        <v>14.4</v>
      </c>
      <c r="H54" s="347">
        <v>32.300000000000004</v>
      </c>
      <c r="I54" s="347">
        <v>26</v>
      </c>
      <c r="J54" s="347">
        <v>25.3</v>
      </c>
      <c r="K54" s="347">
        <v>18.900000000000002</v>
      </c>
      <c r="L54" s="347">
        <v>11.200000000000001</v>
      </c>
      <c r="M54" s="347">
        <v>31.400000000000002</v>
      </c>
      <c r="N54" s="347">
        <v>25.700000000000003</v>
      </c>
      <c r="O54" s="347">
        <v>24.900000000000002</v>
      </c>
      <c r="P54" s="347">
        <v>19</v>
      </c>
      <c r="Q54" s="347">
        <v>10.9</v>
      </c>
      <c r="R54" s="347">
        <v>30</v>
      </c>
      <c r="S54" s="347">
        <v>24</v>
      </c>
      <c r="T54" s="347">
        <v>23.700000000000003</v>
      </c>
      <c r="U54" s="347">
        <v>23</v>
      </c>
      <c r="V54" s="347">
        <v>17.7</v>
      </c>
      <c r="W54" s="347">
        <v>11.4</v>
      </c>
      <c r="X54" s="347">
        <v>30.6</v>
      </c>
      <c r="Y54" s="347">
        <v>22.700000000000003</v>
      </c>
      <c r="Z54" s="347">
        <v>23.8</v>
      </c>
      <c r="AA54" s="347">
        <v>22</v>
      </c>
      <c r="AB54" s="347">
        <v>17</v>
      </c>
      <c r="AC54" s="347">
        <v>11.5</v>
      </c>
      <c r="AD54" s="347">
        <f t="shared" si="0"/>
        <v>10.9</v>
      </c>
      <c r="AE54" s="517">
        <f t="shared" si="1"/>
        <v>22.266666666666666</v>
      </c>
      <c r="AF54" s="347">
        <f t="shared" si="2"/>
        <v>32.9</v>
      </c>
      <c r="AG54" s="347"/>
      <c r="AH54" s="347"/>
      <c r="AI54" s="347"/>
      <c r="AJ54" s="347"/>
      <c r="AK54" s="347"/>
      <c r="AL54" s="347"/>
      <c r="AM54" s="347"/>
      <c r="AN54" s="347"/>
      <c r="AO54" s="347"/>
      <c r="AP54" s="347"/>
      <c r="AQ54" s="347"/>
      <c r="AR54" s="347"/>
      <c r="AS54" s="347"/>
      <c r="AT54" s="347"/>
      <c r="AU54" s="347"/>
      <c r="AV54" s="347"/>
      <c r="AW54" s="347"/>
      <c r="AX54" s="347"/>
      <c r="AY54" s="347"/>
      <c r="AZ54" s="347"/>
      <c r="BA54" s="347"/>
      <c r="BB54" s="347"/>
      <c r="BC54" s="347"/>
      <c r="BD54" s="347"/>
      <c r="BE54" s="347"/>
      <c r="BF54" s="347"/>
      <c r="BG54" s="347"/>
      <c r="BH54" s="347"/>
      <c r="BI54" s="347"/>
      <c r="BJ54" s="347"/>
    </row>
    <row r="55" spans="1:62" ht="12.75" customHeight="1" outlineLevel="1" x14ac:dyDescent="0.2">
      <c r="A55" s="328" t="s">
        <v>3</v>
      </c>
      <c r="B55" s="328" t="s">
        <v>236</v>
      </c>
      <c r="C55" s="347">
        <v>2</v>
      </c>
      <c r="D55" s="347">
        <v>2</v>
      </c>
      <c r="E55" s="347">
        <v>2</v>
      </c>
      <c r="F55" s="347">
        <v>2</v>
      </c>
      <c r="G55" s="347">
        <v>2</v>
      </c>
      <c r="H55" s="347">
        <v>2</v>
      </c>
      <c r="I55" s="347">
        <v>2</v>
      </c>
      <c r="J55" s="347">
        <v>2</v>
      </c>
      <c r="K55" s="347">
        <v>2</v>
      </c>
      <c r="L55" s="347">
        <v>2</v>
      </c>
      <c r="M55" s="347">
        <v>2</v>
      </c>
      <c r="N55" s="347">
        <v>2</v>
      </c>
      <c r="O55" s="347">
        <v>2</v>
      </c>
      <c r="P55" s="347">
        <v>2</v>
      </c>
      <c r="Q55" s="347">
        <v>2</v>
      </c>
      <c r="R55" s="347">
        <v>2</v>
      </c>
      <c r="S55" s="347">
        <v>2</v>
      </c>
      <c r="T55" s="347">
        <v>2</v>
      </c>
      <c r="U55" s="347">
        <v>2</v>
      </c>
      <c r="V55" s="347">
        <v>2</v>
      </c>
      <c r="W55" s="347">
        <v>2</v>
      </c>
      <c r="X55" s="347">
        <v>2</v>
      </c>
      <c r="Y55" s="347">
        <v>2</v>
      </c>
      <c r="Z55" s="347">
        <v>2</v>
      </c>
      <c r="AA55" s="347">
        <v>2</v>
      </c>
      <c r="AB55" s="347">
        <v>2</v>
      </c>
      <c r="AC55" s="347">
        <v>2</v>
      </c>
      <c r="AD55" s="347">
        <f t="shared" si="0"/>
        <v>2</v>
      </c>
      <c r="AE55" s="347">
        <f t="shared" si="1"/>
        <v>2</v>
      </c>
      <c r="AF55" s="347">
        <f t="shared" si="2"/>
        <v>2</v>
      </c>
      <c r="AG55" s="347"/>
      <c r="AH55" s="347"/>
      <c r="AI55" s="347"/>
      <c r="AJ55" s="347"/>
      <c r="AK55" s="347"/>
      <c r="AL55" s="347"/>
      <c r="AM55" s="347"/>
      <c r="AN55" s="347"/>
      <c r="AO55" s="347"/>
      <c r="AP55" s="347"/>
      <c r="AQ55" s="347"/>
      <c r="AR55" s="347"/>
      <c r="AS55" s="347"/>
      <c r="AT55" s="347"/>
      <c r="AU55" s="347"/>
      <c r="AV55" s="347"/>
      <c r="AW55" s="347"/>
      <c r="AX55" s="347"/>
      <c r="AY55" s="347"/>
      <c r="AZ55" s="347"/>
      <c r="BA55" s="347"/>
      <c r="BB55" s="347"/>
      <c r="BC55" s="347"/>
      <c r="BD55" s="347"/>
      <c r="BE55" s="347"/>
      <c r="BF55" s="347"/>
      <c r="BG55" s="347"/>
      <c r="BH55" s="347"/>
      <c r="BI55" s="347"/>
      <c r="BJ55" s="347"/>
    </row>
    <row r="56" spans="1:62" ht="12.75" customHeight="1" outlineLevel="1" x14ac:dyDescent="0.2">
      <c r="A56" s="328" t="s">
        <v>3</v>
      </c>
      <c r="B56" s="328" t="s">
        <v>160</v>
      </c>
      <c r="C56" s="517">
        <v>20</v>
      </c>
      <c r="D56" s="347">
        <v>15.9</v>
      </c>
      <c r="E56" s="347">
        <v>15.4</v>
      </c>
      <c r="F56" s="347">
        <v>11.8</v>
      </c>
      <c r="G56" s="347">
        <v>8.76</v>
      </c>
      <c r="H56" s="347">
        <v>19.700000000000003</v>
      </c>
      <c r="I56" s="347">
        <v>15.8</v>
      </c>
      <c r="J56" s="347">
        <v>15.4</v>
      </c>
      <c r="K56" s="347">
        <v>11.5</v>
      </c>
      <c r="L56" s="347">
        <v>6.8</v>
      </c>
      <c r="M56" s="347">
        <v>19.100000000000001</v>
      </c>
      <c r="N56" s="347">
        <v>15.600000000000001</v>
      </c>
      <c r="O56" s="347">
        <v>15.100000000000001</v>
      </c>
      <c r="P56" s="347">
        <v>11.5</v>
      </c>
      <c r="Q56" s="347">
        <v>6.65</v>
      </c>
      <c r="R56" s="347">
        <v>18.3</v>
      </c>
      <c r="S56" s="347">
        <v>14.600000000000001</v>
      </c>
      <c r="T56" s="347">
        <v>14.4</v>
      </c>
      <c r="U56" s="347">
        <v>14</v>
      </c>
      <c r="V56" s="347">
        <v>10.8</v>
      </c>
      <c r="W56" s="347">
        <v>6.92</v>
      </c>
      <c r="X56" s="347">
        <v>18.7</v>
      </c>
      <c r="Y56" s="347">
        <v>13.8</v>
      </c>
      <c r="Z56" s="347">
        <v>14.5</v>
      </c>
      <c r="AA56" s="347">
        <v>13.4</v>
      </c>
      <c r="AB56" s="347">
        <v>10.3</v>
      </c>
      <c r="AC56" s="347">
        <v>6.98</v>
      </c>
      <c r="AD56" s="347">
        <f t="shared" si="0"/>
        <v>6.65</v>
      </c>
      <c r="AE56" s="554">
        <f t="shared" si="1"/>
        <v>13.544814814814815</v>
      </c>
      <c r="AF56" s="554">
        <f t="shared" si="2"/>
        <v>20</v>
      </c>
      <c r="AG56" s="347"/>
      <c r="AH56" s="347"/>
      <c r="AI56" s="347"/>
      <c r="AJ56" s="347"/>
      <c r="AK56" s="347"/>
      <c r="AL56" s="347"/>
      <c r="AM56" s="347"/>
      <c r="AN56" s="347"/>
      <c r="AO56" s="347"/>
      <c r="AP56" s="347"/>
      <c r="AQ56" s="347"/>
      <c r="AR56" s="347"/>
      <c r="AS56" s="347"/>
      <c r="AT56" s="347"/>
      <c r="AU56" s="347"/>
      <c r="AV56" s="347"/>
      <c r="AW56" s="347"/>
      <c r="AX56" s="347"/>
      <c r="AY56" s="347"/>
      <c r="AZ56" s="347"/>
      <c r="BA56" s="347"/>
      <c r="BB56" s="347"/>
      <c r="BC56" s="347"/>
      <c r="BD56" s="347"/>
      <c r="BE56" s="347"/>
      <c r="BF56" s="347"/>
      <c r="BG56" s="347"/>
      <c r="BH56" s="347"/>
      <c r="BI56" s="347"/>
      <c r="BJ56" s="347"/>
    </row>
    <row r="57" spans="1:62" ht="12.75" customHeight="1" outlineLevel="1" x14ac:dyDescent="0.2">
      <c r="A57" s="328" t="s">
        <v>161</v>
      </c>
      <c r="B57" s="328" t="s">
        <v>236</v>
      </c>
      <c r="C57" s="347">
        <v>2</v>
      </c>
      <c r="D57" s="347">
        <v>2</v>
      </c>
      <c r="E57" s="347">
        <v>1</v>
      </c>
      <c r="F57" s="347">
        <v>1</v>
      </c>
      <c r="G57" s="347">
        <v>1</v>
      </c>
      <c r="H57" s="347">
        <v>2</v>
      </c>
      <c r="I57" s="347">
        <v>2</v>
      </c>
      <c r="J57" s="347">
        <v>1</v>
      </c>
      <c r="K57" s="347">
        <v>1</v>
      </c>
      <c r="L57" s="347">
        <v>1</v>
      </c>
      <c r="M57" s="347">
        <v>2</v>
      </c>
      <c r="N57" s="347">
        <v>2</v>
      </c>
      <c r="O57" s="347">
        <v>1</v>
      </c>
      <c r="P57" s="347">
        <v>1</v>
      </c>
      <c r="Q57" s="347">
        <v>1</v>
      </c>
      <c r="R57" s="347">
        <v>2</v>
      </c>
      <c r="S57" s="347">
        <v>1</v>
      </c>
      <c r="T57" s="347">
        <v>2</v>
      </c>
      <c r="U57" s="347">
        <v>1</v>
      </c>
      <c r="V57" s="347">
        <v>1</v>
      </c>
      <c r="W57" s="347">
        <v>1</v>
      </c>
      <c r="X57" s="347">
        <v>2</v>
      </c>
      <c r="Y57" s="347">
        <v>2</v>
      </c>
      <c r="Z57" s="347">
        <v>1</v>
      </c>
      <c r="AA57" s="347">
        <v>1</v>
      </c>
      <c r="AB57" s="347">
        <v>1</v>
      </c>
      <c r="AC57" s="347">
        <v>1</v>
      </c>
      <c r="AD57" s="554">
        <f t="shared" ref="AD57:AD72" si="11">MIN(C57:AC57)</f>
        <v>1</v>
      </c>
      <c r="AE57" s="554">
        <f t="shared" ref="AE57:AE72" si="12">AVERAGE(C57:AC57)</f>
        <v>1.3703703703703705</v>
      </c>
      <c r="AF57" s="554">
        <f t="shared" ref="AF57:AF72" si="13">MAX(C57:AC57)</f>
        <v>2</v>
      </c>
      <c r="AG57" s="347"/>
      <c r="AH57" s="347"/>
      <c r="AI57" s="347"/>
      <c r="AJ57" s="347"/>
      <c r="AK57" s="347"/>
      <c r="AL57" s="347"/>
      <c r="AM57" s="347"/>
      <c r="AN57" s="347"/>
      <c r="AO57" s="347"/>
      <c r="AP57" s="347"/>
      <c r="AQ57" s="347"/>
      <c r="AR57" s="347"/>
      <c r="AS57" s="347"/>
      <c r="AT57" s="347"/>
      <c r="AU57" s="347"/>
      <c r="AV57" s="347"/>
      <c r="AW57" s="347"/>
      <c r="AX57" s="347"/>
      <c r="AY57" s="347"/>
      <c r="AZ57" s="347"/>
      <c r="BA57" s="347"/>
      <c r="BB57" s="347"/>
      <c r="BC57" s="347"/>
      <c r="BD57" s="347"/>
      <c r="BE57" s="347"/>
      <c r="BF57" s="347"/>
      <c r="BG57" s="347"/>
      <c r="BH57" s="347"/>
      <c r="BI57" s="347"/>
      <c r="BJ57" s="347"/>
    </row>
    <row r="58" spans="1:62" ht="12.75" customHeight="1" outlineLevel="1" x14ac:dyDescent="0.2">
      <c r="A58" s="328" t="s">
        <v>161</v>
      </c>
      <c r="B58" s="328" t="s">
        <v>238</v>
      </c>
      <c r="C58" s="347">
        <v>11.4</v>
      </c>
      <c r="D58" s="347">
        <v>9.08</v>
      </c>
      <c r="E58" s="347">
        <v>4.41</v>
      </c>
      <c r="F58" s="347">
        <v>3.37</v>
      </c>
      <c r="G58" s="347">
        <v>2.5</v>
      </c>
      <c r="H58" s="347">
        <v>11.200000000000001</v>
      </c>
      <c r="I58" s="347">
        <v>9.0500000000000007</v>
      </c>
      <c r="J58" s="347">
        <v>4.3899999999999997</v>
      </c>
      <c r="K58" s="347">
        <v>3.2800000000000002</v>
      </c>
      <c r="L58" s="347">
        <v>1.94</v>
      </c>
      <c r="M58" s="347">
        <v>10.9</v>
      </c>
      <c r="N58" s="347">
        <v>8.93</v>
      </c>
      <c r="O58" s="347">
        <v>4.33</v>
      </c>
      <c r="P58" s="347">
        <v>3.3000000000000003</v>
      </c>
      <c r="Q58" s="347">
        <v>1.9000000000000001</v>
      </c>
      <c r="R58" s="347">
        <v>10.4</v>
      </c>
      <c r="S58" s="347">
        <v>4.17</v>
      </c>
      <c r="T58" s="347">
        <v>8.25</v>
      </c>
      <c r="U58" s="347">
        <v>4</v>
      </c>
      <c r="V58" s="347">
        <v>3.0700000000000003</v>
      </c>
      <c r="W58" s="347">
        <v>1.98</v>
      </c>
      <c r="X58" s="347">
        <v>10.700000000000001</v>
      </c>
      <c r="Y58" s="347">
        <v>7.91</v>
      </c>
      <c r="Z58" s="347">
        <v>4.1399999999999997</v>
      </c>
      <c r="AA58" s="347">
        <v>3.83</v>
      </c>
      <c r="AB58" s="347">
        <v>2.95</v>
      </c>
      <c r="AC58" s="347">
        <v>1.99</v>
      </c>
      <c r="AD58" s="554">
        <f t="shared" si="11"/>
        <v>1.9000000000000001</v>
      </c>
      <c r="AE58" s="554">
        <f t="shared" si="12"/>
        <v>5.6803703703703716</v>
      </c>
      <c r="AF58" s="554">
        <f t="shared" si="13"/>
        <v>11.4</v>
      </c>
      <c r="AG58" s="347"/>
      <c r="AH58" s="347"/>
      <c r="AI58" s="347"/>
      <c r="AJ58" s="347"/>
      <c r="AK58" s="347"/>
      <c r="AL58" s="347"/>
      <c r="AM58" s="347"/>
      <c r="AN58" s="347"/>
      <c r="AO58" s="347"/>
      <c r="AP58" s="347"/>
      <c r="AQ58" s="347"/>
      <c r="AR58" s="347"/>
      <c r="AS58" s="347"/>
      <c r="AT58" s="347"/>
      <c r="AU58" s="347"/>
      <c r="AV58" s="347"/>
      <c r="AW58" s="347"/>
      <c r="AX58" s="347"/>
      <c r="AY58" s="347"/>
      <c r="AZ58" s="347"/>
      <c r="BA58" s="347"/>
      <c r="BB58" s="347"/>
      <c r="BC58" s="347"/>
      <c r="BD58" s="347"/>
      <c r="BE58" s="347"/>
      <c r="BF58" s="347"/>
      <c r="BG58" s="347"/>
      <c r="BH58" s="347"/>
      <c r="BI58" s="347"/>
      <c r="BJ58" s="347"/>
    </row>
    <row r="59" spans="1:62" ht="12.75" customHeight="1" outlineLevel="1" x14ac:dyDescent="0.2">
      <c r="A59" s="328" t="s">
        <v>232</v>
      </c>
      <c r="B59" s="328" t="s">
        <v>160</v>
      </c>
      <c r="C59" s="495">
        <v>528000</v>
      </c>
      <c r="D59" s="495">
        <v>420000</v>
      </c>
      <c r="E59" s="495">
        <v>409000</v>
      </c>
      <c r="F59" s="495">
        <v>312000</v>
      </c>
      <c r="G59" s="495">
        <v>232000</v>
      </c>
      <c r="H59" s="495">
        <v>519000</v>
      </c>
      <c r="I59" s="495">
        <v>419000</v>
      </c>
      <c r="J59" s="495">
        <v>407000</v>
      </c>
      <c r="K59" s="495">
        <v>304000</v>
      </c>
      <c r="L59" s="495">
        <v>180000</v>
      </c>
      <c r="M59" s="495">
        <v>505000</v>
      </c>
      <c r="N59" s="495">
        <v>413000</v>
      </c>
      <c r="O59" s="495">
        <v>401000</v>
      </c>
      <c r="P59" s="495">
        <v>305000</v>
      </c>
      <c r="Q59" s="495">
        <v>176000</v>
      </c>
      <c r="R59" s="495">
        <v>482000</v>
      </c>
      <c r="S59" s="495">
        <v>386000</v>
      </c>
      <c r="T59" s="495">
        <v>382000</v>
      </c>
      <c r="U59" s="495">
        <v>370000</v>
      </c>
      <c r="V59" s="495">
        <v>285000</v>
      </c>
      <c r="W59" s="495">
        <v>184000</v>
      </c>
      <c r="X59" s="495">
        <v>492000</v>
      </c>
      <c r="Y59" s="495">
        <v>366000</v>
      </c>
      <c r="Z59" s="495">
        <v>383000</v>
      </c>
      <c r="AA59" s="495">
        <v>354000</v>
      </c>
      <c r="AB59" s="495">
        <v>274000</v>
      </c>
      <c r="AC59" s="495">
        <v>185000</v>
      </c>
      <c r="AD59" s="495">
        <f t="shared" si="11"/>
        <v>176000</v>
      </c>
      <c r="AE59" s="495">
        <f t="shared" si="12"/>
        <v>358259.25925925927</v>
      </c>
      <c r="AF59" s="495">
        <f t="shared" si="13"/>
        <v>528000</v>
      </c>
      <c r="AG59" s="347"/>
      <c r="AH59" s="347"/>
      <c r="AI59" s="347"/>
      <c r="AJ59" s="347"/>
      <c r="AK59" s="347"/>
      <c r="AL59" s="347"/>
      <c r="AM59" s="347"/>
      <c r="AN59" s="347"/>
      <c r="AO59" s="347"/>
      <c r="AP59" s="347"/>
      <c r="AQ59" s="347"/>
      <c r="AR59" s="347"/>
      <c r="AS59" s="347"/>
      <c r="AT59" s="347"/>
      <c r="AU59" s="347"/>
      <c r="AV59" s="347"/>
      <c r="AW59" s="347"/>
      <c r="AX59" s="347"/>
      <c r="AY59" s="347"/>
      <c r="AZ59" s="347"/>
      <c r="BA59" s="347"/>
      <c r="BB59" s="347"/>
      <c r="BC59" s="347"/>
      <c r="BD59" s="347"/>
      <c r="BE59" s="347"/>
      <c r="BF59" s="347"/>
      <c r="BG59" s="347"/>
      <c r="BH59" s="347"/>
      <c r="BI59" s="347"/>
      <c r="BJ59" s="347"/>
    </row>
    <row r="60" spans="1:62" ht="12.75" customHeight="1" outlineLevel="1" x14ac:dyDescent="0.3">
      <c r="A60" s="250" t="s">
        <v>491</v>
      </c>
      <c r="B60" s="250" t="s">
        <v>160</v>
      </c>
      <c r="C60" s="495">
        <f t="shared" ref="C60:AC60" si="14">$B$110*(C30+C31)</f>
        <v>9.9152784500000006</v>
      </c>
      <c r="D60" s="495">
        <f t="shared" si="14"/>
        <v>7.9241692831400004</v>
      </c>
      <c r="E60" s="495">
        <f t="shared" si="14"/>
        <v>7.7066901340000014</v>
      </c>
      <c r="F60" s="495">
        <f t="shared" si="14"/>
        <v>5.8927287980000012</v>
      </c>
      <c r="G60" s="495">
        <f t="shared" si="14"/>
        <v>4.3766116240000015</v>
      </c>
      <c r="H60" s="495">
        <f t="shared" si="14"/>
        <v>9.7457652182000007</v>
      </c>
      <c r="I60" s="495">
        <f t="shared" si="14"/>
        <v>7.8908795211399996</v>
      </c>
      <c r="J60" s="495">
        <f t="shared" si="14"/>
        <v>7.6729594480000012</v>
      </c>
      <c r="K60" s="495">
        <f t="shared" si="14"/>
        <v>5.7271618360000014</v>
      </c>
      <c r="L60" s="495">
        <f t="shared" si="14"/>
        <v>3.3977603440000013</v>
      </c>
      <c r="M60" s="495">
        <f t="shared" si="14"/>
        <v>9.4908670538000024</v>
      </c>
      <c r="N60" s="495">
        <f t="shared" si="14"/>
        <v>7.78505776114</v>
      </c>
      <c r="O60" s="495">
        <f t="shared" si="14"/>
        <v>7.5574373600000007</v>
      </c>
      <c r="P60" s="495">
        <f t="shared" si="14"/>
        <v>5.7597902120000022</v>
      </c>
      <c r="Q60" s="495">
        <f t="shared" si="14"/>
        <v>3.3199372580000013</v>
      </c>
      <c r="R60" s="495">
        <f t="shared" si="14"/>
        <v>9.0594670122000007</v>
      </c>
      <c r="S60" s="495">
        <f t="shared" si="14"/>
        <v>7.289576030000001</v>
      </c>
      <c r="T60" s="495">
        <f t="shared" si="14"/>
        <v>7.19973115114</v>
      </c>
      <c r="U60" s="495">
        <f t="shared" si="14"/>
        <v>6.9822520020000018</v>
      </c>
      <c r="V60" s="495">
        <f t="shared" si="14"/>
        <v>5.367367852000001</v>
      </c>
      <c r="W60" s="495">
        <f t="shared" si="14"/>
        <v>3.4590487800000012</v>
      </c>
      <c r="X60" s="495">
        <f t="shared" si="14"/>
        <v>9.2419213633999995</v>
      </c>
      <c r="Y60" s="495">
        <f t="shared" si="14"/>
        <v>6.90210745114</v>
      </c>
      <c r="Z60" s="495">
        <f t="shared" si="14"/>
        <v>7.2285080560000017</v>
      </c>
      <c r="AA60" s="495">
        <f t="shared" si="14"/>
        <v>6.6846283020000019</v>
      </c>
      <c r="AB60" s="495">
        <f t="shared" si="14"/>
        <v>5.1614563440000021</v>
      </c>
      <c r="AC60" s="495">
        <f t="shared" si="14"/>
        <v>3.485504220000001</v>
      </c>
      <c r="AD60" s="495">
        <f t="shared" ref="AD60:AD63" si="15">MIN(C60:AC60)</f>
        <v>3.3199372580000013</v>
      </c>
      <c r="AE60" s="495">
        <f t="shared" ref="AE60:AE63" si="16">AVERAGE(C60:AC60)</f>
        <v>6.7490615876037046</v>
      </c>
      <c r="AF60" s="495">
        <f t="shared" ref="AF60:AF63" si="17">MAX(C60:AC60)</f>
        <v>9.9152784500000006</v>
      </c>
      <c r="AG60" s="347"/>
      <c r="AH60" s="347"/>
      <c r="AI60" s="347"/>
      <c r="AJ60" s="347"/>
      <c r="AK60" s="347"/>
      <c r="AL60" s="347"/>
      <c r="AM60" s="347"/>
      <c r="AN60" s="347"/>
      <c r="AO60" s="347"/>
      <c r="AP60" s="347"/>
      <c r="AQ60" s="347"/>
      <c r="AR60" s="347"/>
      <c r="AS60" s="347"/>
      <c r="AT60" s="347"/>
      <c r="AU60" s="347"/>
      <c r="AV60" s="347"/>
      <c r="AW60" s="347"/>
      <c r="AX60" s="347"/>
      <c r="AY60" s="347"/>
      <c r="AZ60" s="347"/>
      <c r="BA60" s="347"/>
      <c r="BB60" s="347"/>
      <c r="BC60" s="347"/>
      <c r="BD60" s="347"/>
      <c r="BE60" s="347"/>
      <c r="BF60" s="347"/>
      <c r="BG60" s="347"/>
      <c r="BH60" s="347"/>
      <c r="BI60" s="347"/>
      <c r="BJ60" s="347"/>
    </row>
    <row r="61" spans="1:62" ht="12.75" customHeight="1" outlineLevel="1" x14ac:dyDescent="0.3">
      <c r="A61" s="250" t="s">
        <v>492</v>
      </c>
      <c r="B61" s="250" t="s">
        <v>160</v>
      </c>
      <c r="C61" s="495">
        <f t="shared" ref="C61:AC61" si="18">$B$112*(C30+C31)</f>
        <v>0.99152784499999991</v>
      </c>
      <c r="D61" s="495">
        <f t="shared" si="18"/>
        <v>0.79241692831400001</v>
      </c>
      <c r="E61" s="495">
        <f t="shared" si="18"/>
        <v>0.77066901340000016</v>
      </c>
      <c r="F61" s="495">
        <f t="shared" si="18"/>
        <v>0.58927287980000009</v>
      </c>
      <c r="G61" s="495">
        <f t="shared" si="18"/>
        <v>0.43766116240000008</v>
      </c>
      <c r="H61" s="495">
        <f t="shared" si="18"/>
        <v>0.9745765218200001</v>
      </c>
      <c r="I61" s="495">
        <f t="shared" si="18"/>
        <v>0.78908795211399996</v>
      </c>
      <c r="J61" s="495">
        <f t="shared" si="18"/>
        <v>0.76729594480000007</v>
      </c>
      <c r="K61" s="495">
        <f t="shared" si="18"/>
        <v>0.57271618360000009</v>
      </c>
      <c r="L61" s="495">
        <f t="shared" si="18"/>
        <v>0.33977603440000009</v>
      </c>
      <c r="M61" s="495">
        <f t="shared" si="18"/>
        <v>0.94908670538000006</v>
      </c>
      <c r="N61" s="495">
        <f t="shared" si="18"/>
        <v>0.77850577611399996</v>
      </c>
      <c r="O61" s="495">
        <f t="shared" si="18"/>
        <v>0.75574373600000011</v>
      </c>
      <c r="P61" s="495">
        <f t="shared" si="18"/>
        <v>0.57597902120000011</v>
      </c>
      <c r="Q61" s="495">
        <f t="shared" si="18"/>
        <v>0.33199372580000008</v>
      </c>
      <c r="R61" s="495">
        <f t="shared" si="18"/>
        <v>0.90594670122000009</v>
      </c>
      <c r="S61" s="495">
        <f t="shared" si="18"/>
        <v>0.72895760300000012</v>
      </c>
      <c r="T61" s="495">
        <f t="shared" si="18"/>
        <v>0.71997311511399997</v>
      </c>
      <c r="U61" s="495">
        <f t="shared" si="18"/>
        <v>0.69822520020000012</v>
      </c>
      <c r="V61" s="495">
        <f t="shared" si="18"/>
        <v>0.53673678520000001</v>
      </c>
      <c r="W61" s="495">
        <f t="shared" si="18"/>
        <v>0.34590487800000008</v>
      </c>
      <c r="X61" s="495">
        <f t="shared" si="18"/>
        <v>0.92419213633999986</v>
      </c>
      <c r="Y61" s="495">
        <f t="shared" si="18"/>
        <v>0.69021074511399994</v>
      </c>
      <c r="Z61" s="495">
        <f t="shared" si="18"/>
        <v>0.72285080560000015</v>
      </c>
      <c r="AA61" s="495">
        <f t="shared" si="18"/>
        <v>0.66846283020000019</v>
      </c>
      <c r="AB61" s="495">
        <f t="shared" si="18"/>
        <v>0.51614563440000016</v>
      </c>
      <c r="AC61" s="495">
        <f t="shared" si="18"/>
        <v>0.34855042200000008</v>
      </c>
      <c r="AD61" s="495">
        <f t="shared" si="15"/>
        <v>0.33199372580000008</v>
      </c>
      <c r="AE61" s="495">
        <f t="shared" si="16"/>
        <v>0.6749061587603703</v>
      </c>
      <c r="AF61" s="495">
        <f t="shared" si="17"/>
        <v>0.99152784499999991</v>
      </c>
      <c r="AG61" s="347"/>
      <c r="AH61" s="347"/>
      <c r="AI61" s="347"/>
      <c r="AJ61" s="347"/>
      <c r="AK61" s="347"/>
      <c r="AL61" s="347"/>
      <c r="AM61" s="347"/>
      <c r="AN61" s="347"/>
      <c r="AO61" s="347"/>
      <c r="AP61" s="347"/>
      <c r="AQ61" s="347"/>
      <c r="AR61" s="347"/>
      <c r="AS61" s="347"/>
      <c r="AT61" s="347"/>
      <c r="AU61" s="347"/>
      <c r="AV61" s="347"/>
      <c r="AW61" s="347"/>
      <c r="AX61" s="347"/>
      <c r="AY61" s="347"/>
      <c r="AZ61" s="347"/>
      <c r="BA61" s="347"/>
      <c r="BB61" s="347"/>
      <c r="BC61" s="347"/>
      <c r="BD61" s="347"/>
      <c r="BE61" s="347"/>
      <c r="BF61" s="347"/>
      <c r="BG61" s="347"/>
      <c r="BH61" s="347"/>
      <c r="BI61" s="347"/>
      <c r="BJ61" s="347"/>
    </row>
    <row r="62" spans="1:62" ht="12.75" customHeight="1" outlineLevel="1" x14ac:dyDescent="0.2">
      <c r="A62" s="250" t="s">
        <v>63</v>
      </c>
      <c r="B62" s="250" t="s">
        <v>160</v>
      </c>
      <c r="C62" s="495">
        <f>SUM(C59:C61)</f>
        <v>528010.90680629504</v>
      </c>
      <c r="D62" s="495">
        <f t="shared" ref="D62:AC62" si="19">SUM(D59:D61)</f>
        <v>420008.71658621146</v>
      </c>
      <c r="E62" s="495">
        <f t="shared" si="19"/>
        <v>409008.47735914739</v>
      </c>
      <c r="F62" s="495">
        <f t="shared" si="19"/>
        <v>312006.4820016778</v>
      </c>
      <c r="G62" s="495">
        <f t="shared" si="19"/>
        <v>232004.8142727864</v>
      </c>
      <c r="H62" s="495">
        <f t="shared" si="19"/>
        <v>519010.72034174006</v>
      </c>
      <c r="I62" s="495">
        <f t="shared" si="19"/>
        <v>419008.67996747326</v>
      </c>
      <c r="J62" s="495">
        <f t="shared" si="19"/>
        <v>407008.44025539281</v>
      </c>
      <c r="K62" s="495">
        <f t="shared" si="19"/>
        <v>304006.29987801961</v>
      </c>
      <c r="L62" s="495">
        <f t="shared" si="19"/>
        <v>180003.73753637841</v>
      </c>
      <c r="M62" s="495">
        <f t="shared" si="19"/>
        <v>505010.4399537592</v>
      </c>
      <c r="N62" s="495">
        <f t="shared" si="19"/>
        <v>413008.56356353726</v>
      </c>
      <c r="O62" s="495">
        <f t="shared" si="19"/>
        <v>401008.31318109599</v>
      </c>
      <c r="P62" s="495">
        <f t="shared" si="19"/>
        <v>305006.33576923318</v>
      </c>
      <c r="Q62" s="495">
        <f t="shared" si="19"/>
        <v>176003.65193098379</v>
      </c>
      <c r="R62" s="495">
        <f t="shared" si="19"/>
        <v>482009.96541371342</v>
      </c>
      <c r="S62" s="495">
        <f t="shared" si="19"/>
        <v>386008.01853363297</v>
      </c>
      <c r="T62" s="495">
        <f t="shared" si="19"/>
        <v>382007.9197042663</v>
      </c>
      <c r="U62" s="495">
        <f t="shared" si="19"/>
        <v>370007.68047720217</v>
      </c>
      <c r="V62" s="495">
        <f t="shared" si="19"/>
        <v>285005.90410463721</v>
      </c>
      <c r="W62" s="495">
        <f t="shared" si="19"/>
        <v>184003.80495365799</v>
      </c>
      <c r="X62" s="495">
        <f t="shared" si="19"/>
        <v>492010.16611349973</v>
      </c>
      <c r="Y62" s="495">
        <f t="shared" si="19"/>
        <v>366007.5923181962</v>
      </c>
      <c r="Z62" s="495">
        <f t="shared" si="19"/>
        <v>383007.95135886164</v>
      </c>
      <c r="AA62" s="495">
        <f t="shared" si="19"/>
        <v>354007.35309113219</v>
      </c>
      <c r="AB62" s="495">
        <f t="shared" si="19"/>
        <v>274005.67760197842</v>
      </c>
      <c r="AC62" s="495">
        <f t="shared" si="19"/>
        <v>185003.83405464201</v>
      </c>
      <c r="AD62" s="495">
        <f t="shared" si="15"/>
        <v>176003.65193098379</v>
      </c>
      <c r="AE62" s="495">
        <f t="shared" si="16"/>
        <v>358266.68322700559</v>
      </c>
      <c r="AF62" s="495">
        <f t="shared" si="17"/>
        <v>528010.90680629504</v>
      </c>
      <c r="AG62" s="347"/>
      <c r="AH62" s="347"/>
      <c r="AI62" s="347"/>
      <c r="AJ62" s="347"/>
      <c r="AK62" s="347"/>
      <c r="AL62" s="347"/>
      <c r="AM62" s="347"/>
      <c r="AN62" s="347"/>
      <c r="AO62" s="347"/>
      <c r="AP62" s="347"/>
      <c r="AQ62" s="347"/>
      <c r="AR62" s="347"/>
      <c r="AS62" s="347"/>
      <c r="AT62" s="347"/>
      <c r="AU62" s="347"/>
      <c r="AV62" s="347"/>
      <c r="AW62" s="347"/>
      <c r="AX62" s="347"/>
      <c r="AY62" s="347"/>
      <c r="AZ62" s="347"/>
      <c r="BA62" s="347"/>
      <c r="BB62" s="347"/>
      <c r="BC62" s="347"/>
      <c r="BD62" s="347"/>
      <c r="BE62" s="347"/>
      <c r="BF62" s="347"/>
      <c r="BG62" s="347"/>
      <c r="BH62" s="347"/>
      <c r="BI62" s="347"/>
      <c r="BJ62" s="347"/>
    </row>
    <row r="63" spans="1:62" ht="12.75" customHeight="1" outlineLevel="1" x14ac:dyDescent="0.3">
      <c r="A63" s="250" t="s">
        <v>493</v>
      </c>
      <c r="B63" s="250" t="s">
        <v>160</v>
      </c>
      <c r="C63" s="495">
        <f t="shared" ref="C63:AC63" si="20">C59+(C60*$B$114)+(C61*$B$115)</f>
        <v>528543.35725906002</v>
      </c>
      <c r="D63" s="495">
        <f t="shared" si="20"/>
        <v>420434.24447671603</v>
      </c>
      <c r="E63" s="495">
        <f t="shared" si="20"/>
        <v>409422.32661934325</v>
      </c>
      <c r="F63" s="495">
        <f t="shared" si="20"/>
        <v>312322.92153813044</v>
      </c>
      <c r="G63" s="495">
        <f t="shared" si="20"/>
        <v>232239.83831699521</v>
      </c>
      <c r="H63" s="495">
        <f t="shared" si="20"/>
        <v>519534.06793395733</v>
      </c>
      <c r="I63" s="495">
        <f t="shared" si="20"/>
        <v>419432.42019775847</v>
      </c>
      <c r="J63" s="495">
        <f t="shared" si="20"/>
        <v>407420.47817775037</v>
      </c>
      <c r="K63" s="495">
        <f t="shared" si="20"/>
        <v>304313.84846861282</v>
      </c>
      <c r="L63" s="495">
        <f t="shared" si="20"/>
        <v>180186.1972668512</v>
      </c>
      <c r="M63" s="495">
        <f t="shared" si="20"/>
        <v>505520.0995145482</v>
      </c>
      <c r="N63" s="495">
        <f t="shared" si="20"/>
        <v>413426.6211653105</v>
      </c>
      <c r="O63" s="495">
        <f t="shared" si="20"/>
        <v>401414.14756732801</v>
      </c>
      <c r="P63" s="495">
        <f t="shared" si="20"/>
        <v>305315.63650361757</v>
      </c>
      <c r="Q63" s="495">
        <f t="shared" si="20"/>
        <v>176181.93256173839</v>
      </c>
      <c r="R63" s="495">
        <f t="shared" si="20"/>
        <v>482496.45879226859</v>
      </c>
      <c r="S63" s="495">
        <f t="shared" si="20"/>
        <v>386399.46876644401</v>
      </c>
      <c r="T63" s="495">
        <f t="shared" si="20"/>
        <v>382394.54526708246</v>
      </c>
      <c r="U63" s="495">
        <f t="shared" si="20"/>
        <v>370382.62740970962</v>
      </c>
      <c r="V63" s="495">
        <f t="shared" si="20"/>
        <v>285294.13175828959</v>
      </c>
      <c r="W63" s="495">
        <f t="shared" si="20"/>
        <v>184189.55587314401</v>
      </c>
      <c r="X63" s="495">
        <f t="shared" si="20"/>
        <v>492506.45729071432</v>
      </c>
      <c r="Y63" s="495">
        <f t="shared" si="20"/>
        <v>366378.23548832245</v>
      </c>
      <c r="Z63" s="495">
        <f t="shared" si="20"/>
        <v>383396.12224146881</v>
      </c>
      <c r="AA63" s="495">
        <f t="shared" si="20"/>
        <v>354366.3176309496</v>
      </c>
      <c r="AB63" s="495">
        <f t="shared" si="20"/>
        <v>274282.84780765121</v>
      </c>
      <c r="AC63" s="495">
        <f t="shared" si="20"/>
        <v>185191.005631256</v>
      </c>
      <c r="AD63" s="495">
        <f t="shared" si="15"/>
        <v>176181.93256173839</v>
      </c>
      <c r="AE63" s="495">
        <f t="shared" si="16"/>
        <v>358629.1078342601</v>
      </c>
      <c r="AF63" s="495">
        <f t="shared" si="17"/>
        <v>528543.35725906002</v>
      </c>
      <c r="AG63" s="347"/>
      <c r="AH63" s="347"/>
      <c r="AI63" s="347"/>
      <c r="AJ63" s="347"/>
      <c r="AK63" s="347"/>
      <c r="AL63" s="347"/>
      <c r="AM63" s="347"/>
      <c r="AN63" s="347"/>
      <c r="AO63" s="347"/>
      <c r="AP63" s="347"/>
      <c r="AQ63" s="347"/>
      <c r="AR63" s="347"/>
      <c r="AS63" s="347"/>
      <c r="AT63" s="347"/>
      <c r="AU63" s="347"/>
      <c r="AV63" s="347"/>
      <c r="AW63" s="347"/>
      <c r="AX63" s="347"/>
      <c r="AY63" s="347"/>
      <c r="AZ63" s="347"/>
      <c r="BA63" s="347"/>
      <c r="BB63" s="347"/>
      <c r="BC63" s="347"/>
      <c r="BD63" s="347"/>
      <c r="BE63" s="347"/>
      <c r="BF63" s="347"/>
      <c r="BG63" s="347"/>
      <c r="BH63" s="347"/>
      <c r="BI63" s="347"/>
      <c r="BJ63" s="347"/>
    </row>
    <row r="64" spans="1:62" ht="12.75" customHeight="1" outlineLevel="1" x14ac:dyDescent="0.2">
      <c r="A64" s="328" t="s">
        <v>248</v>
      </c>
      <c r="B64" s="328" t="s">
        <v>236</v>
      </c>
      <c r="C64" s="347">
        <v>5</v>
      </c>
      <c r="D64" s="347">
        <v>5</v>
      </c>
      <c r="E64" s="347">
        <v>5</v>
      </c>
      <c r="F64" s="347">
        <v>5</v>
      </c>
      <c r="G64" s="347">
        <v>5</v>
      </c>
      <c r="H64" s="347">
        <v>5</v>
      </c>
      <c r="I64" s="347">
        <v>5</v>
      </c>
      <c r="J64" s="347">
        <v>5</v>
      </c>
      <c r="K64" s="347">
        <v>5</v>
      </c>
      <c r="L64" s="347">
        <v>5</v>
      </c>
      <c r="M64" s="347">
        <v>5</v>
      </c>
      <c r="N64" s="347">
        <v>5</v>
      </c>
      <c r="O64" s="347">
        <v>5</v>
      </c>
      <c r="P64" s="347">
        <v>5</v>
      </c>
      <c r="Q64" s="347">
        <v>5</v>
      </c>
      <c r="R64" s="347">
        <v>5</v>
      </c>
      <c r="S64" s="347">
        <v>5</v>
      </c>
      <c r="T64" s="347">
        <v>5</v>
      </c>
      <c r="U64" s="347">
        <v>5</v>
      </c>
      <c r="V64" s="347">
        <v>5</v>
      </c>
      <c r="W64" s="347">
        <v>5</v>
      </c>
      <c r="X64" s="347">
        <v>5</v>
      </c>
      <c r="Y64" s="347">
        <v>5</v>
      </c>
      <c r="Z64" s="347">
        <v>5</v>
      </c>
      <c r="AA64" s="347">
        <v>5</v>
      </c>
      <c r="AB64" s="347">
        <v>5</v>
      </c>
      <c r="AC64" s="347">
        <v>5</v>
      </c>
      <c r="AD64" s="347">
        <f t="shared" si="11"/>
        <v>5</v>
      </c>
      <c r="AE64" s="347">
        <f t="shared" si="12"/>
        <v>5</v>
      </c>
      <c r="AF64" s="347">
        <f t="shared" si="13"/>
        <v>5</v>
      </c>
      <c r="AG64" s="347"/>
      <c r="AH64" s="347"/>
      <c r="AI64" s="347"/>
      <c r="AJ64" s="347"/>
      <c r="AK64" s="347"/>
      <c r="AL64" s="347"/>
      <c r="AM64" s="347"/>
      <c r="AN64" s="347"/>
      <c r="AO64" s="347"/>
      <c r="AP64" s="347"/>
      <c r="AQ64" s="347"/>
      <c r="AR64" s="347"/>
      <c r="AS64" s="347"/>
      <c r="AT64" s="347"/>
      <c r="AU64" s="347"/>
      <c r="AV64" s="347"/>
      <c r="AW64" s="347"/>
      <c r="AX64" s="347"/>
      <c r="AY64" s="347"/>
      <c r="AZ64" s="347"/>
      <c r="BA64" s="347"/>
      <c r="BB64" s="347"/>
      <c r="BC64" s="347"/>
      <c r="BD64" s="347"/>
      <c r="BE64" s="347"/>
      <c r="BF64" s="347"/>
      <c r="BG64" s="347"/>
      <c r="BH64" s="347"/>
      <c r="BI64" s="347"/>
      <c r="BJ64" s="347"/>
    </row>
    <row r="65" spans="1:62" ht="12.75" customHeight="1" outlineLevel="1" x14ac:dyDescent="0.2">
      <c r="A65" s="328" t="s">
        <v>248</v>
      </c>
      <c r="B65" s="328" t="s">
        <v>160</v>
      </c>
      <c r="C65" s="347">
        <v>30.400000000000002</v>
      </c>
      <c r="D65" s="347">
        <v>24.1</v>
      </c>
      <c r="E65" s="347">
        <v>23.400000000000002</v>
      </c>
      <c r="F65" s="347">
        <v>17.900000000000002</v>
      </c>
      <c r="G65" s="347">
        <v>13.3</v>
      </c>
      <c r="H65" s="347">
        <v>29.8</v>
      </c>
      <c r="I65" s="347">
        <v>24</v>
      </c>
      <c r="J65" s="347">
        <v>23.3</v>
      </c>
      <c r="K65" s="347">
        <v>17.400000000000002</v>
      </c>
      <c r="L65" s="347">
        <v>10.3</v>
      </c>
      <c r="M65" s="347">
        <v>29.1</v>
      </c>
      <c r="N65" s="347">
        <v>23.700000000000003</v>
      </c>
      <c r="O65" s="347">
        <v>23</v>
      </c>
      <c r="P65" s="347">
        <v>17.5</v>
      </c>
      <c r="Q65" s="347">
        <v>10.100000000000001</v>
      </c>
      <c r="R65" s="347">
        <v>27.700000000000003</v>
      </c>
      <c r="S65" s="347">
        <v>22.200000000000003</v>
      </c>
      <c r="T65" s="347">
        <v>21.900000000000002</v>
      </c>
      <c r="U65" s="347">
        <v>21.200000000000003</v>
      </c>
      <c r="V65" s="347">
        <v>16.3</v>
      </c>
      <c r="W65" s="347">
        <v>10.5</v>
      </c>
      <c r="X65" s="347">
        <v>28.3</v>
      </c>
      <c r="Y65" s="347">
        <v>21</v>
      </c>
      <c r="Z65" s="347">
        <v>22</v>
      </c>
      <c r="AA65" s="347">
        <v>20.3</v>
      </c>
      <c r="AB65" s="347">
        <v>15.700000000000001</v>
      </c>
      <c r="AC65" s="347">
        <v>10.600000000000001</v>
      </c>
      <c r="AD65" s="517">
        <f t="shared" si="11"/>
        <v>10.100000000000001</v>
      </c>
      <c r="AE65" s="517">
        <f t="shared" si="12"/>
        <v>20.555555555555561</v>
      </c>
      <c r="AF65" s="517">
        <f t="shared" si="13"/>
        <v>30.400000000000002</v>
      </c>
      <c r="AG65" s="347"/>
      <c r="AH65" s="347"/>
      <c r="AI65" s="347"/>
      <c r="AJ65" s="347"/>
      <c r="AK65" s="347"/>
      <c r="AL65" s="347"/>
      <c r="AM65" s="347"/>
      <c r="AN65" s="347"/>
      <c r="AO65" s="347"/>
      <c r="AP65" s="347"/>
      <c r="AQ65" s="347"/>
      <c r="AR65" s="347"/>
      <c r="AS65" s="347"/>
      <c r="AT65" s="347"/>
      <c r="AU65" s="347"/>
      <c r="AV65" s="347"/>
      <c r="AW65" s="347"/>
      <c r="AX65" s="347"/>
      <c r="AY65" s="347"/>
      <c r="AZ65" s="347"/>
      <c r="BA65" s="347"/>
      <c r="BB65" s="347"/>
      <c r="BC65" s="347"/>
      <c r="BD65" s="347"/>
      <c r="BE65" s="347"/>
      <c r="BF65" s="347"/>
      <c r="BG65" s="347"/>
      <c r="BH65" s="347"/>
      <c r="BI65" s="347"/>
      <c r="BJ65" s="347"/>
    </row>
    <row r="66" spans="1:62" ht="12.75" hidden="1" customHeight="1" outlineLevel="1" x14ac:dyDescent="0.2">
      <c r="A66" s="328" t="s">
        <v>451</v>
      </c>
      <c r="B66" s="328" t="s">
        <v>239</v>
      </c>
      <c r="C66" s="554">
        <v>7.4399999999999995</v>
      </c>
      <c r="D66" s="554">
        <v>5.88</v>
      </c>
      <c r="E66" s="554">
        <v>5.7119999999999997</v>
      </c>
      <c r="F66" s="554">
        <v>4.3680000000000003</v>
      </c>
      <c r="G66" s="554">
        <v>3.24</v>
      </c>
      <c r="H66" s="554">
        <v>7.3079999999999998</v>
      </c>
      <c r="I66" s="554">
        <v>5.8559999999999999</v>
      </c>
      <c r="J66" s="554">
        <v>5.6879999999999997</v>
      </c>
      <c r="K66" s="554">
        <v>4.2480000000000002</v>
      </c>
      <c r="L66" s="554">
        <v>2.52</v>
      </c>
      <c r="M66" s="554">
        <v>7.1159999999999997</v>
      </c>
      <c r="N66" s="554">
        <v>5.7839999999999998</v>
      </c>
      <c r="O66" s="554">
        <v>5.6040000000000001</v>
      </c>
      <c r="P66" s="554">
        <v>4.2720000000000002</v>
      </c>
      <c r="Q66" s="554">
        <v>2.4599999999999995</v>
      </c>
      <c r="R66" s="554">
        <v>6.78</v>
      </c>
      <c r="S66" s="554">
        <v>5.4119999999999999</v>
      </c>
      <c r="T66" s="554">
        <v>5.3519999999999994</v>
      </c>
      <c r="U66" s="554">
        <v>5.1840000000000002</v>
      </c>
      <c r="V66" s="554">
        <v>3.984</v>
      </c>
      <c r="W66" s="554">
        <v>2.5680000000000001</v>
      </c>
      <c r="X66" s="554">
        <v>6.9240000000000004</v>
      </c>
      <c r="Y66" s="554">
        <v>5.1240000000000006</v>
      </c>
      <c r="Z66" s="554">
        <v>5.3639999999999999</v>
      </c>
      <c r="AA66" s="554">
        <v>4.9559999999999995</v>
      </c>
      <c r="AB66" s="554">
        <v>3.8279999999999998</v>
      </c>
      <c r="AC66" s="554">
        <v>2.5799999999999996</v>
      </c>
      <c r="AD66" s="554">
        <f t="shared" si="11"/>
        <v>2.4599999999999995</v>
      </c>
      <c r="AE66" s="554">
        <f t="shared" si="12"/>
        <v>5.0204444444444452</v>
      </c>
      <c r="AF66" s="554">
        <f t="shared" si="13"/>
        <v>7.4399999999999995</v>
      </c>
      <c r="AG66" s="554"/>
      <c r="AH66" s="554"/>
      <c r="AI66" s="554"/>
      <c r="AJ66" s="554"/>
      <c r="AK66" s="554"/>
      <c r="AL66" s="554"/>
      <c r="AM66" s="554"/>
      <c r="AN66" s="554"/>
      <c r="AO66" s="554"/>
      <c r="AP66" s="554"/>
      <c r="AQ66" s="554"/>
      <c r="AR66" s="554"/>
      <c r="AS66" s="554"/>
      <c r="AT66" s="554"/>
      <c r="AU66" s="554"/>
      <c r="AV66" s="554"/>
      <c r="AW66" s="554"/>
      <c r="AX66" s="554"/>
      <c r="AY66" s="554"/>
      <c r="AZ66" s="554"/>
      <c r="BA66" s="554"/>
      <c r="BB66" s="554"/>
      <c r="BC66" s="554"/>
      <c r="BD66" s="554"/>
      <c r="BE66" s="554"/>
      <c r="BF66" s="554"/>
      <c r="BG66" s="554"/>
      <c r="BH66" s="554"/>
      <c r="BI66" s="554"/>
      <c r="BJ66" s="554"/>
    </row>
    <row r="67" spans="1:62" ht="12.75" customHeight="1" outlineLevel="1" x14ac:dyDescent="0.2">
      <c r="A67" s="328" t="s">
        <v>452</v>
      </c>
      <c r="B67" s="328" t="s">
        <v>239</v>
      </c>
      <c r="C67" s="517">
        <f t="shared" ref="C67:AC67" si="21">C66*$C$103/$C$102</f>
        <v>5.952</v>
      </c>
      <c r="D67" s="517">
        <f t="shared" si="21"/>
        <v>4.7039999999999997</v>
      </c>
      <c r="E67" s="517">
        <f t="shared" si="21"/>
        <v>4.5696000000000003</v>
      </c>
      <c r="F67" s="517">
        <f t="shared" si="21"/>
        <v>3.4944000000000006</v>
      </c>
      <c r="G67" s="517">
        <f t="shared" si="21"/>
        <v>2.5920000000000005</v>
      </c>
      <c r="H67" s="517">
        <f t="shared" si="21"/>
        <v>5.8464</v>
      </c>
      <c r="I67" s="517">
        <f t="shared" si="21"/>
        <v>4.6848000000000001</v>
      </c>
      <c r="J67" s="517">
        <f t="shared" si="21"/>
        <v>4.5503999999999998</v>
      </c>
      <c r="K67" s="517">
        <f t="shared" si="21"/>
        <v>3.3984000000000005</v>
      </c>
      <c r="L67" s="517">
        <f t="shared" si="21"/>
        <v>2.016</v>
      </c>
      <c r="M67" s="517">
        <f t="shared" si="21"/>
        <v>5.6928000000000001</v>
      </c>
      <c r="N67" s="517">
        <f t="shared" si="21"/>
        <v>4.6272000000000002</v>
      </c>
      <c r="O67" s="517">
        <f t="shared" si="21"/>
        <v>4.4832000000000001</v>
      </c>
      <c r="P67" s="517">
        <f t="shared" si="21"/>
        <v>3.4176000000000002</v>
      </c>
      <c r="Q67" s="517">
        <f t="shared" si="21"/>
        <v>1.9679999999999997</v>
      </c>
      <c r="R67" s="517">
        <f t="shared" si="21"/>
        <v>5.4240000000000004</v>
      </c>
      <c r="S67" s="517">
        <f t="shared" si="21"/>
        <v>4.3296000000000001</v>
      </c>
      <c r="T67" s="517">
        <f t="shared" si="21"/>
        <v>4.2816000000000001</v>
      </c>
      <c r="U67" s="517">
        <f t="shared" si="21"/>
        <v>4.1472000000000007</v>
      </c>
      <c r="V67" s="517">
        <f t="shared" si="21"/>
        <v>3.1872000000000003</v>
      </c>
      <c r="W67" s="517">
        <f t="shared" si="21"/>
        <v>2.0544000000000002</v>
      </c>
      <c r="X67" s="517">
        <f t="shared" si="21"/>
        <v>5.539200000000001</v>
      </c>
      <c r="Y67" s="517">
        <f t="shared" si="21"/>
        <v>4.0992000000000006</v>
      </c>
      <c r="Z67" s="517">
        <f t="shared" si="21"/>
        <v>4.2911999999999999</v>
      </c>
      <c r="AA67" s="517">
        <f t="shared" si="21"/>
        <v>3.9647999999999999</v>
      </c>
      <c r="AB67" s="517">
        <f t="shared" si="21"/>
        <v>3.0624000000000002</v>
      </c>
      <c r="AC67" s="517">
        <f t="shared" si="21"/>
        <v>2.0639999999999996</v>
      </c>
      <c r="AD67" s="554">
        <f t="shared" ref="AD67:AD69" si="22">MIN(C67:AC67)</f>
        <v>1.9679999999999997</v>
      </c>
      <c r="AE67" s="554">
        <f t="shared" ref="AE67:AE69" si="23">AVERAGE(C67:AC67)</f>
        <v>4.0163555555555552</v>
      </c>
      <c r="AF67" s="554">
        <f t="shared" ref="AF67:AF69" si="24">MAX(C67:AC67)</f>
        <v>5.952</v>
      </c>
      <c r="AG67" s="554"/>
      <c r="AH67" s="554"/>
      <c r="AI67" s="554"/>
      <c r="AJ67" s="554"/>
      <c r="AK67" s="554"/>
      <c r="AL67" s="554"/>
      <c r="AM67" s="554"/>
      <c r="AN67" s="554"/>
      <c r="AO67" s="554"/>
      <c r="AP67" s="554"/>
      <c r="AQ67" s="554"/>
      <c r="AR67" s="554"/>
      <c r="AS67" s="554"/>
      <c r="AT67" s="554"/>
      <c r="AU67" s="554"/>
      <c r="AV67" s="554"/>
      <c r="AW67" s="554"/>
      <c r="AX67" s="554"/>
      <c r="AY67" s="554"/>
      <c r="AZ67" s="554"/>
      <c r="BA67" s="554"/>
      <c r="BB67" s="554"/>
      <c r="BC67" s="554"/>
      <c r="BD67" s="554"/>
      <c r="BE67" s="554"/>
      <c r="BF67" s="554"/>
      <c r="BG67" s="554"/>
      <c r="BH67" s="554"/>
      <c r="BI67" s="554"/>
      <c r="BJ67" s="554"/>
    </row>
    <row r="68" spans="1:62" ht="12.75" hidden="1" customHeight="1" outlineLevel="1" x14ac:dyDescent="0.2">
      <c r="A68" s="328" t="s">
        <v>451</v>
      </c>
      <c r="B68" s="318" t="s">
        <v>383</v>
      </c>
      <c r="C68" s="496">
        <f t="shared" ref="C68:AC68" si="25">C66/(C30+C31)</f>
        <v>1.6542523624235685E-3</v>
      </c>
      <c r="D68" s="496">
        <f t="shared" si="25"/>
        <v>1.6359021541325863E-3</v>
      </c>
      <c r="E68" s="496">
        <f t="shared" si="25"/>
        <v>1.6340074949223328E-3</v>
      </c>
      <c r="F68" s="496">
        <f t="shared" si="25"/>
        <v>1.6341801040068837E-3</v>
      </c>
      <c r="G68" s="496">
        <f t="shared" si="25"/>
        <v>1.6320773725569209E-3</v>
      </c>
      <c r="H68" s="496">
        <f t="shared" si="25"/>
        <v>1.6531655133567537E-3</v>
      </c>
      <c r="I68" s="496">
        <f t="shared" si="25"/>
        <v>1.6360983190039694E-3</v>
      </c>
      <c r="J68" s="496">
        <f t="shared" si="25"/>
        <v>1.6342949086311914E-3</v>
      </c>
      <c r="K68" s="496">
        <f t="shared" si="25"/>
        <v>1.6352298098390942E-3</v>
      </c>
      <c r="L68" s="496">
        <f t="shared" si="25"/>
        <v>1.6350895406177001E-3</v>
      </c>
      <c r="M68" s="496">
        <f t="shared" si="25"/>
        <v>1.6529655121150103E-3</v>
      </c>
      <c r="N68" s="496">
        <f t="shared" si="25"/>
        <v>1.6379482941861615E-3</v>
      </c>
      <c r="O68" s="496">
        <f t="shared" si="25"/>
        <v>1.6347724620770126E-3</v>
      </c>
      <c r="P68" s="496">
        <f t="shared" si="25"/>
        <v>1.6351527214269305E-3</v>
      </c>
      <c r="Q68" s="496">
        <f t="shared" si="25"/>
        <v>1.6335746065475787E-3</v>
      </c>
      <c r="R68" s="496">
        <f t="shared" si="25"/>
        <v>1.6499120290267709E-3</v>
      </c>
      <c r="S68" s="496">
        <f t="shared" si="25"/>
        <v>1.6367760471797971E-3</v>
      </c>
      <c r="T68" s="496">
        <f t="shared" si="25"/>
        <v>1.638828727393763E-3</v>
      </c>
      <c r="U68" s="496">
        <f t="shared" si="25"/>
        <v>1.6368286445012784E-3</v>
      </c>
      <c r="V68" s="496">
        <f t="shared" si="25"/>
        <v>1.6364084449190829E-3</v>
      </c>
      <c r="W68" s="496">
        <f t="shared" si="25"/>
        <v>1.6367112810707453E-3</v>
      </c>
      <c r="X68" s="496">
        <f t="shared" si="25"/>
        <v>1.6516899765509642E-3</v>
      </c>
      <c r="Y68" s="496">
        <f t="shared" si="25"/>
        <v>1.6366700982225651E-3</v>
      </c>
      <c r="Z68" s="496">
        <f t="shared" si="25"/>
        <v>1.6359643772111746E-3</v>
      </c>
      <c r="AA68" s="496">
        <f t="shared" si="25"/>
        <v>1.634510735134065E-3</v>
      </c>
      <c r="AB68" s="496">
        <f t="shared" si="25"/>
        <v>1.6350589441312142E-3</v>
      </c>
      <c r="AC68" s="496">
        <f t="shared" si="25"/>
        <v>1.631878557874762E-3</v>
      </c>
      <c r="AD68" s="496">
        <f t="shared" si="22"/>
        <v>1.631878557874762E-3</v>
      </c>
      <c r="AE68" s="496">
        <f t="shared" si="23"/>
        <v>1.6385166310762911E-3</v>
      </c>
      <c r="AF68" s="496">
        <f t="shared" si="24"/>
        <v>1.6542523624235685E-3</v>
      </c>
      <c r="AG68" s="554"/>
      <c r="AH68" s="554"/>
      <c r="AI68" s="554"/>
      <c r="AJ68" s="554"/>
      <c r="AK68" s="554"/>
      <c r="AL68" s="554"/>
      <c r="AM68" s="554"/>
      <c r="AN68" s="554"/>
      <c r="AO68" s="554"/>
      <c r="AP68" s="554"/>
      <c r="AQ68" s="554"/>
      <c r="AR68" s="554"/>
      <c r="AS68" s="554"/>
      <c r="AT68" s="554"/>
      <c r="AU68" s="554"/>
      <c r="AV68" s="554"/>
      <c r="AW68" s="554"/>
      <c r="AX68" s="554"/>
      <c r="AY68" s="554"/>
      <c r="AZ68" s="554"/>
      <c r="BA68" s="554"/>
      <c r="BB68" s="554"/>
      <c r="BC68" s="554"/>
      <c r="BD68" s="554"/>
      <c r="BE68" s="554"/>
      <c r="BF68" s="554"/>
      <c r="BG68" s="554"/>
      <c r="BH68" s="554"/>
      <c r="BI68" s="554"/>
      <c r="BJ68" s="554"/>
    </row>
    <row r="69" spans="1:62" ht="12.75" customHeight="1" outlineLevel="1" x14ac:dyDescent="0.2">
      <c r="A69" s="328" t="s">
        <v>452</v>
      </c>
      <c r="B69" s="318" t="s">
        <v>383</v>
      </c>
      <c r="C69" s="496">
        <f t="shared" ref="C69:AC69" si="26">C68*$C$103/$C$102</f>
        <v>1.3234018899388549E-3</v>
      </c>
      <c r="D69" s="496">
        <f t="shared" si="26"/>
        <v>1.3087217233060692E-3</v>
      </c>
      <c r="E69" s="496">
        <f t="shared" si="26"/>
        <v>1.3072059959378663E-3</v>
      </c>
      <c r="F69" s="496">
        <f t="shared" si="26"/>
        <v>1.3073440832055069E-3</v>
      </c>
      <c r="G69" s="496">
        <f t="shared" si="26"/>
        <v>1.3056618980455369E-3</v>
      </c>
      <c r="H69" s="496">
        <f t="shared" si="26"/>
        <v>1.322532410685403E-3</v>
      </c>
      <c r="I69" s="496">
        <f t="shared" si="26"/>
        <v>1.3088786552031757E-3</v>
      </c>
      <c r="J69" s="496">
        <f t="shared" si="26"/>
        <v>1.3074359269049532E-3</v>
      </c>
      <c r="K69" s="496">
        <f t="shared" si="26"/>
        <v>1.3081838478712754E-3</v>
      </c>
      <c r="L69" s="496">
        <f t="shared" si="26"/>
        <v>1.3080716324941602E-3</v>
      </c>
      <c r="M69" s="496">
        <f t="shared" si="26"/>
        <v>1.3223724096920082E-3</v>
      </c>
      <c r="N69" s="496">
        <f t="shared" si="26"/>
        <v>1.3103586353489292E-3</v>
      </c>
      <c r="O69" s="496">
        <f t="shared" si="26"/>
        <v>1.3078179696616101E-3</v>
      </c>
      <c r="P69" s="496">
        <f t="shared" si="26"/>
        <v>1.3081221771415446E-3</v>
      </c>
      <c r="Q69" s="496">
        <f t="shared" si="26"/>
        <v>1.306859685238063E-3</v>
      </c>
      <c r="R69" s="496">
        <f t="shared" si="26"/>
        <v>1.3199296232214168E-3</v>
      </c>
      <c r="S69" s="496">
        <f t="shared" si="26"/>
        <v>1.3094208377438378E-3</v>
      </c>
      <c r="T69" s="496">
        <f t="shared" si="26"/>
        <v>1.3110629819150104E-3</v>
      </c>
      <c r="U69" s="496">
        <f t="shared" si="26"/>
        <v>1.3094629156010229E-3</v>
      </c>
      <c r="V69" s="496">
        <f t="shared" si="26"/>
        <v>1.3091267559352665E-3</v>
      </c>
      <c r="W69" s="496">
        <f t="shared" si="26"/>
        <v>1.3093690248565963E-3</v>
      </c>
      <c r="X69" s="496">
        <f t="shared" si="26"/>
        <v>1.3213519812407715E-3</v>
      </c>
      <c r="Y69" s="496">
        <f t="shared" si="26"/>
        <v>1.3093360785780522E-3</v>
      </c>
      <c r="Z69" s="496">
        <f t="shared" si="26"/>
        <v>1.3087715017689398E-3</v>
      </c>
      <c r="AA69" s="496">
        <f t="shared" si="26"/>
        <v>1.3076085881072522E-3</v>
      </c>
      <c r="AB69" s="496">
        <f t="shared" si="26"/>
        <v>1.3080471553049715E-3</v>
      </c>
      <c r="AC69" s="496">
        <f t="shared" si="26"/>
        <v>1.3055028462998098E-3</v>
      </c>
      <c r="AD69" s="496">
        <f t="shared" si="22"/>
        <v>1.3055028462998098E-3</v>
      </c>
      <c r="AE69" s="496">
        <f t="shared" si="23"/>
        <v>1.3108133048610334E-3</v>
      </c>
      <c r="AF69" s="496">
        <f t="shared" si="24"/>
        <v>1.3234018899388549E-3</v>
      </c>
      <c r="AG69" s="554"/>
      <c r="AH69" s="554"/>
      <c r="AI69" s="554"/>
      <c r="AJ69" s="554"/>
      <c r="AK69" s="554"/>
      <c r="AL69" s="554"/>
      <c r="AM69" s="554"/>
      <c r="AN69" s="554"/>
      <c r="AO69" s="554"/>
      <c r="AP69" s="554"/>
      <c r="AQ69" s="554"/>
      <c r="AR69" s="554"/>
      <c r="AS69" s="554"/>
      <c r="AT69" s="554"/>
      <c r="AU69" s="554"/>
      <c r="AV69" s="554"/>
      <c r="AW69" s="554"/>
      <c r="AX69" s="554"/>
      <c r="AY69" s="554"/>
      <c r="AZ69" s="554"/>
      <c r="BA69" s="554"/>
      <c r="BB69" s="554"/>
      <c r="BC69" s="554"/>
      <c r="BD69" s="554"/>
      <c r="BE69" s="554"/>
      <c r="BF69" s="554"/>
      <c r="BG69" s="554"/>
      <c r="BH69" s="554"/>
      <c r="BI69" s="554"/>
      <c r="BJ69" s="554"/>
    </row>
    <row r="70" spans="1:62" outlineLevel="1" x14ac:dyDescent="0.2">
      <c r="A70" s="346" t="s">
        <v>484</v>
      </c>
      <c r="B70" s="328" t="s">
        <v>160</v>
      </c>
      <c r="C70" s="347">
        <v>22.6</v>
      </c>
      <c r="D70" s="347">
        <v>21.6</v>
      </c>
      <c r="E70" s="347">
        <v>11.6</v>
      </c>
      <c r="F70" s="347">
        <v>10.9</v>
      </c>
      <c r="G70" s="347">
        <v>10.3</v>
      </c>
      <c r="H70" s="347">
        <v>21.9</v>
      </c>
      <c r="I70" s="347">
        <v>21.6</v>
      </c>
      <c r="J70" s="347">
        <v>11.6</v>
      </c>
      <c r="K70" s="347">
        <v>10.8</v>
      </c>
      <c r="L70" s="347">
        <v>10</v>
      </c>
      <c r="M70" s="347">
        <v>21.2</v>
      </c>
      <c r="N70" s="347">
        <v>21.5</v>
      </c>
      <c r="O70" s="347">
        <v>11.5</v>
      </c>
      <c r="P70" s="347">
        <v>10.8</v>
      </c>
      <c r="Q70" s="347">
        <v>9.9</v>
      </c>
      <c r="R70" s="347">
        <v>20.3</v>
      </c>
      <c r="S70" s="347">
        <v>11.4</v>
      </c>
      <c r="T70" s="347">
        <v>21.3</v>
      </c>
      <c r="U70" s="347">
        <v>11.3</v>
      </c>
      <c r="V70" s="347">
        <v>10.7</v>
      </c>
      <c r="W70" s="347">
        <v>10</v>
      </c>
      <c r="X70" s="347">
        <v>21.5</v>
      </c>
      <c r="Y70" s="347">
        <v>21.2</v>
      </c>
      <c r="Z70" s="347">
        <v>11.4</v>
      </c>
      <c r="AA70" s="347">
        <v>11.2</v>
      </c>
      <c r="AB70" s="347">
        <v>10.6</v>
      </c>
      <c r="AC70" s="347">
        <v>10</v>
      </c>
      <c r="AD70" s="517">
        <f t="shared" si="11"/>
        <v>9.9</v>
      </c>
      <c r="AE70" s="517">
        <f t="shared" si="12"/>
        <v>14.766666666666666</v>
      </c>
      <c r="AF70" s="517">
        <f t="shared" si="13"/>
        <v>22.6</v>
      </c>
      <c r="AG70" s="347"/>
      <c r="AH70" s="347"/>
      <c r="AI70" s="347"/>
      <c r="AJ70" s="347"/>
      <c r="AK70" s="347"/>
      <c r="AL70" s="347"/>
      <c r="AM70" s="347"/>
      <c r="AN70" s="347"/>
      <c r="AO70" s="347"/>
      <c r="AP70" s="347"/>
      <c r="AQ70" s="347"/>
      <c r="AR70" s="347"/>
      <c r="AS70" s="347"/>
      <c r="AT70" s="347"/>
      <c r="AU70" s="347"/>
      <c r="AV70" s="347"/>
      <c r="AW70" s="347"/>
      <c r="AX70" s="347"/>
      <c r="AY70" s="347"/>
      <c r="AZ70" s="347"/>
      <c r="BA70" s="347"/>
      <c r="BB70" s="347"/>
      <c r="BC70" s="347"/>
      <c r="BD70" s="347"/>
      <c r="BE70" s="347"/>
      <c r="BF70" s="347"/>
      <c r="BG70" s="347"/>
      <c r="BH70" s="347"/>
      <c r="BI70" s="347"/>
      <c r="BJ70" s="347"/>
    </row>
    <row r="71" spans="1:62" outlineLevel="1" x14ac:dyDescent="0.2">
      <c r="A71" s="346" t="s">
        <v>484</v>
      </c>
      <c r="B71" s="328" t="s">
        <v>383</v>
      </c>
      <c r="C71" s="496">
        <f t="shared" ref="C71:AC71" si="27">C70/(C30+C31)</f>
        <v>5.0250138966092279E-3</v>
      </c>
      <c r="D71" s="496">
        <f t="shared" si="27"/>
        <v>6.0094364845686855E-3</v>
      </c>
      <c r="E71" s="496">
        <f t="shared" si="27"/>
        <v>3.3183625597162222E-3</v>
      </c>
      <c r="F71" s="496">
        <f t="shared" si="27"/>
        <v>4.0779677503834776E-3</v>
      </c>
      <c r="G71" s="496">
        <f t="shared" si="27"/>
        <v>5.1883941164618166E-3</v>
      </c>
      <c r="H71" s="496">
        <f t="shared" si="27"/>
        <v>4.9540674250838678E-3</v>
      </c>
      <c r="I71" s="496">
        <f t="shared" si="27"/>
        <v>6.0347888815720186E-3</v>
      </c>
      <c r="J71" s="496">
        <f t="shared" si="27"/>
        <v>3.3329502356051022E-3</v>
      </c>
      <c r="K71" s="496">
        <f t="shared" si="27"/>
        <v>4.1573639233197313E-3</v>
      </c>
      <c r="L71" s="496">
        <f t="shared" si="27"/>
        <v>6.4884505580067456E-3</v>
      </c>
      <c r="M71" s="496">
        <f t="shared" si="27"/>
        <v>4.9245178269868217E-3</v>
      </c>
      <c r="N71" s="496">
        <f t="shared" si="27"/>
        <v>6.0885007477528476E-3</v>
      </c>
      <c r="O71" s="496">
        <f t="shared" si="27"/>
        <v>3.3547257876312716E-3</v>
      </c>
      <c r="P71" s="496">
        <f t="shared" si="27"/>
        <v>4.133813059787184E-3</v>
      </c>
      <c r="Q71" s="496">
        <f t="shared" si="27"/>
        <v>6.5741417092768425E-3</v>
      </c>
      <c r="R71" s="496">
        <f t="shared" si="27"/>
        <v>4.9400020928087682E-3</v>
      </c>
      <c r="S71" s="496">
        <f t="shared" si="27"/>
        <v>3.4477544231060028E-3</v>
      </c>
      <c r="T71" s="496">
        <f t="shared" si="27"/>
        <v>6.5222443747173318E-3</v>
      </c>
      <c r="U71" s="496">
        <f t="shared" si="27"/>
        <v>3.5679328091945306E-3</v>
      </c>
      <c r="V71" s="496">
        <f t="shared" si="27"/>
        <v>4.3949724800788625E-3</v>
      </c>
      <c r="W71" s="496">
        <f t="shared" si="27"/>
        <v>6.3734862970044595E-3</v>
      </c>
      <c r="X71" s="496">
        <f t="shared" si="27"/>
        <v>5.128731151913017E-3</v>
      </c>
      <c r="Y71" s="496">
        <f t="shared" si="27"/>
        <v>6.7715468544727502E-3</v>
      </c>
      <c r="Z71" s="496">
        <f t="shared" si="27"/>
        <v>3.4768817860192746E-3</v>
      </c>
      <c r="AA71" s="496">
        <f t="shared" si="27"/>
        <v>3.6938095709244407E-3</v>
      </c>
      <c r="AB71" s="496">
        <f t="shared" si="27"/>
        <v>4.5275926875106764E-3</v>
      </c>
      <c r="AC71" s="496">
        <f t="shared" si="27"/>
        <v>6.3251106894370631E-3</v>
      </c>
      <c r="AD71" s="496">
        <f t="shared" si="11"/>
        <v>3.3183625597162222E-3</v>
      </c>
      <c r="AE71" s="496">
        <f t="shared" si="12"/>
        <v>4.9197244511092241E-3</v>
      </c>
      <c r="AF71" s="496">
        <f t="shared" si="13"/>
        <v>6.7715468544727502E-3</v>
      </c>
      <c r="AG71" s="347"/>
      <c r="AH71" s="347"/>
      <c r="AI71" s="347"/>
      <c r="AJ71" s="347"/>
      <c r="AK71" s="347"/>
      <c r="AL71" s="347"/>
      <c r="AM71" s="347"/>
      <c r="AN71" s="347"/>
      <c r="AO71" s="347"/>
      <c r="AP71" s="347"/>
      <c r="AQ71" s="347"/>
      <c r="AR71" s="347"/>
      <c r="AS71" s="347"/>
      <c r="AT71" s="347"/>
      <c r="AU71" s="347"/>
      <c r="AV71" s="347"/>
      <c r="AW71" s="347"/>
      <c r="AX71" s="347"/>
      <c r="AY71" s="347"/>
      <c r="AZ71" s="347"/>
      <c r="BA71" s="347"/>
      <c r="BB71" s="347"/>
      <c r="BC71" s="347"/>
      <c r="BD71" s="347"/>
      <c r="BE71" s="347"/>
      <c r="BF71" s="347"/>
      <c r="BG71" s="347"/>
      <c r="BH71" s="347"/>
      <c r="BI71" s="347"/>
      <c r="BJ71" s="347"/>
    </row>
    <row r="72" spans="1:62" ht="12.75" hidden="1" customHeight="1" outlineLevel="1" x14ac:dyDescent="0.2">
      <c r="A72" s="346" t="s">
        <v>449</v>
      </c>
      <c r="B72" s="328" t="s">
        <v>160</v>
      </c>
      <c r="C72" s="347">
        <v>4.78</v>
      </c>
      <c r="D72" s="347">
        <v>3.7800000000000002</v>
      </c>
      <c r="E72" s="347">
        <v>3.67</v>
      </c>
      <c r="F72" s="347">
        <v>2.81</v>
      </c>
      <c r="G72" s="347">
        <v>2.09</v>
      </c>
      <c r="H72" s="347">
        <v>4.6900000000000004</v>
      </c>
      <c r="I72" s="347">
        <v>3.77</v>
      </c>
      <c r="J72" s="347">
        <v>3.66</v>
      </c>
      <c r="K72" s="347">
        <v>2.73</v>
      </c>
      <c r="L72" s="347">
        <v>1.62</v>
      </c>
      <c r="M72" s="347">
        <v>4.57</v>
      </c>
      <c r="N72" s="347">
        <v>3.71</v>
      </c>
      <c r="O72" s="347">
        <v>3.6</v>
      </c>
      <c r="P72" s="347">
        <v>2.74</v>
      </c>
      <c r="Q72" s="347">
        <v>1.58</v>
      </c>
      <c r="R72" s="347">
        <v>4.3600000000000003</v>
      </c>
      <c r="S72" s="347">
        <v>3.47</v>
      </c>
      <c r="T72" s="347">
        <v>3.44</v>
      </c>
      <c r="U72" s="347">
        <v>3.33</v>
      </c>
      <c r="V72" s="347">
        <v>2.56</v>
      </c>
      <c r="W72" s="347">
        <v>1.6500000000000001</v>
      </c>
      <c r="X72" s="347">
        <v>4.45</v>
      </c>
      <c r="Y72" s="347">
        <v>3.29</v>
      </c>
      <c r="Z72" s="347">
        <v>3.44</v>
      </c>
      <c r="AA72" s="347">
        <v>3.19</v>
      </c>
      <c r="AB72" s="347">
        <v>2.46</v>
      </c>
      <c r="AC72" s="347">
        <v>1.6600000000000001</v>
      </c>
      <c r="AD72" s="554">
        <f t="shared" si="11"/>
        <v>1.58</v>
      </c>
      <c r="AE72" s="554">
        <f t="shared" si="12"/>
        <v>3.2259259259259263</v>
      </c>
      <c r="AF72" s="554">
        <f t="shared" si="13"/>
        <v>4.78</v>
      </c>
      <c r="AG72" s="347"/>
      <c r="AH72" s="347"/>
      <c r="AI72" s="347"/>
      <c r="AJ72" s="347"/>
      <c r="AK72" s="347"/>
      <c r="AL72" s="347"/>
      <c r="AM72" s="347"/>
      <c r="AN72" s="347"/>
      <c r="AO72" s="347"/>
      <c r="AP72" s="347"/>
      <c r="AQ72" s="347"/>
      <c r="AR72" s="347"/>
      <c r="AS72" s="347"/>
      <c r="AT72" s="347"/>
      <c r="AU72" s="347"/>
      <c r="AV72" s="347"/>
      <c r="AW72" s="347"/>
      <c r="AX72" s="347"/>
      <c r="AY72" s="347"/>
      <c r="AZ72" s="347"/>
      <c r="BA72" s="347"/>
      <c r="BB72" s="347"/>
      <c r="BC72" s="347"/>
      <c r="BD72" s="347"/>
      <c r="BE72" s="347"/>
      <c r="BF72" s="347"/>
      <c r="BG72" s="347"/>
      <c r="BH72" s="347"/>
      <c r="BI72" s="347"/>
      <c r="BJ72" s="347"/>
    </row>
    <row r="73" spans="1:62" ht="12.75" customHeight="1" outlineLevel="1" x14ac:dyDescent="0.2">
      <c r="A73" s="346" t="s">
        <v>450</v>
      </c>
      <c r="B73" s="328" t="s">
        <v>160</v>
      </c>
      <c r="C73" s="554">
        <f>C72*$C$103/$C$102</f>
        <v>3.8240000000000003</v>
      </c>
      <c r="D73" s="554">
        <f t="shared" ref="D73:AC73" si="28">D72*$C$103/$C$102</f>
        <v>3.0240000000000005</v>
      </c>
      <c r="E73" s="554">
        <f t="shared" si="28"/>
        <v>2.9359999999999999</v>
      </c>
      <c r="F73" s="554">
        <f t="shared" si="28"/>
        <v>2.2480000000000002</v>
      </c>
      <c r="G73" s="554">
        <f t="shared" si="28"/>
        <v>1.6719999999999999</v>
      </c>
      <c r="H73" s="554">
        <f t="shared" si="28"/>
        <v>3.7520000000000007</v>
      </c>
      <c r="I73" s="554">
        <f t="shared" si="28"/>
        <v>3.016</v>
      </c>
      <c r="J73" s="554">
        <f t="shared" si="28"/>
        <v>2.9280000000000004</v>
      </c>
      <c r="K73" s="554">
        <f t="shared" si="28"/>
        <v>2.1840000000000002</v>
      </c>
      <c r="L73" s="554">
        <f t="shared" si="28"/>
        <v>1.2960000000000003</v>
      </c>
      <c r="M73" s="554">
        <f t="shared" si="28"/>
        <v>3.6560000000000006</v>
      </c>
      <c r="N73" s="554">
        <f t="shared" si="28"/>
        <v>2.968</v>
      </c>
      <c r="O73" s="554">
        <f t="shared" si="28"/>
        <v>2.8800000000000003</v>
      </c>
      <c r="P73" s="554">
        <f t="shared" si="28"/>
        <v>2.1920000000000002</v>
      </c>
      <c r="Q73" s="554">
        <f t="shared" si="28"/>
        <v>1.2640000000000002</v>
      </c>
      <c r="R73" s="554">
        <f t="shared" si="28"/>
        <v>3.4880000000000004</v>
      </c>
      <c r="S73" s="554">
        <f t="shared" si="28"/>
        <v>2.7760000000000002</v>
      </c>
      <c r="T73" s="554">
        <f t="shared" si="28"/>
        <v>2.7520000000000002</v>
      </c>
      <c r="U73" s="554">
        <f t="shared" si="28"/>
        <v>2.6640000000000001</v>
      </c>
      <c r="V73" s="554">
        <f t="shared" si="28"/>
        <v>2.048</v>
      </c>
      <c r="W73" s="554">
        <f t="shared" si="28"/>
        <v>1.3200000000000003</v>
      </c>
      <c r="X73" s="554">
        <f t="shared" si="28"/>
        <v>3.5600000000000005</v>
      </c>
      <c r="Y73" s="554">
        <f t="shared" si="28"/>
        <v>2.6320000000000001</v>
      </c>
      <c r="Z73" s="554">
        <f t="shared" si="28"/>
        <v>2.7520000000000002</v>
      </c>
      <c r="AA73" s="554">
        <f t="shared" si="28"/>
        <v>2.552</v>
      </c>
      <c r="AB73" s="554">
        <f t="shared" si="28"/>
        <v>1.968</v>
      </c>
      <c r="AC73" s="554">
        <f t="shared" si="28"/>
        <v>1.3280000000000003</v>
      </c>
      <c r="AD73" s="554">
        <f t="shared" ref="AD73:AD75" si="29">MIN(C73:AC73)</f>
        <v>1.2640000000000002</v>
      </c>
      <c r="AE73" s="554">
        <f t="shared" ref="AE73:AE75" si="30">AVERAGE(C73:AC73)</f>
        <v>2.5807407407407421</v>
      </c>
      <c r="AF73" s="554">
        <f t="shared" ref="AF73:AF75" si="31">MAX(C73:AC73)</f>
        <v>3.8240000000000003</v>
      </c>
      <c r="AG73" s="347"/>
      <c r="AH73" s="347"/>
      <c r="AI73" s="347"/>
      <c r="AJ73" s="347"/>
      <c r="AK73" s="347"/>
      <c r="AL73" s="347"/>
      <c r="AM73" s="347"/>
      <c r="AN73" s="347"/>
      <c r="AO73" s="347"/>
      <c r="AP73" s="347"/>
      <c r="AQ73" s="347"/>
      <c r="AR73" s="347"/>
      <c r="AS73" s="347"/>
      <c r="AT73" s="347"/>
      <c r="AU73" s="347"/>
      <c r="AV73" s="347"/>
      <c r="AW73" s="347"/>
      <c r="AX73" s="347"/>
      <c r="AY73" s="347"/>
      <c r="AZ73" s="347"/>
      <c r="BA73" s="347"/>
      <c r="BB73" s="347"/>
      <c r="BC73" s="347"/>
      <c r="BD73" s="347"/>
      <c r="BE73" s="347"/>
      <c r="BF73" s="347"/>
      <c r="BG73" s="347"/>
      <c r="BH73" s="347"/>
      <c r="BI73" s="347"/>
      <c r="BJ73" s="347"/>
    </row>
    <row r="74" spans="1:62" ht="12.75" hidden="1" customHeight="1" outlineLevel="1" x14ac:dyDescent="0.2">
      <c r="A74" s="346" t="s">
        <v>449</v>
      </c>
      <c r="B74" s="318" t="s">
        <v>383</v>
      </c>
      <c r="C74" s="496">
        <f t="shared" ref="C74:AC74" si="32">C72/(C30+C31)</f>
        <v>1.0628126737076153E-3</v>
      </c>
      <c r="D74" s="496">
        <f t="shared" si="32"/>
        <v>1.05165138479952E-3</v>
      </c>
      <c r="E74" s="496">
        <f t="shared" si="32"/>
        <v>1.0498612581171152E-3</v>
      </c>
      <c r="F74" s="496">
        <f t="shared" si="32"/>
        <v>1.051292603539227E-3</v>
      </c>
      <c r="G74" s="496">
        <f t="shared" si="32"/>
        <v>1.0527906508160383E-3</v>
      </c>
      <c r="H74" s="496">
        <f t="shared" si="32"/>
        <v>1.0609395535910201E-3</v>
      </c>
      <c r="I74" s="496">
        <f t="shared" si="32"/>
        <v>1.0532941705336347E-3</v>
      </c>
      <c r="J74" s="496">
        <f t="shared" si="32"/>
        <v>1.0516032639926445E-3</v>
      </c>
      <c r="K74" s="496">
        <f t="shared" si="32"/>
        <v>1.0508892139502654E-3</v>
      </c>
      <c r="L74" s="496">
        <f t="shared" si="32"/>
        <v>1.0511289903970928E-3</v>
      </c>
      <c r="M74" s="496">
        <f t="shared" si="32"/>
        <v>1.0615587957231026E-3</v>
      </c>
      <c r="N74" s="496">
        <f t="shared" si="32"/>
        <v>1.0506203615889798E-3</v>
      </c>
      <c r="O74" s="496">
        <f t="shared" si="32"/>
        <v>1.0501750291715285E-3</v>
      </c>
      <c r="P74" s="496">
        <f t="shared" si="32"/>
        <v>1.0487636836867486E-3</v>
      </c>
      <c r="Q74" s="496">
        <f t="shared" si="32"/>
        <v>1.0492064546118597E-3</v>
      </c>
      <c r="R74" s="496">
        <f t="shared" si="32"/>
        <v>1.0610053755983364E-3</v>
      </c>
      <c r="S74" s="496">
        <f t="shared" si="32"/>
        <v>1.0494480568577044E-3</v>
      </c>
      <c r="T74" s="496">
        <f t="shared" si="32"/>
        <v>1.0533577769496535E-3</v>
      </c>
      <c r="U74" s="496">
        <f t="shared" si="32"/>
        <v>1.051435066780335E-3</v>
      </c>
      <c r="V74" s="496">
        <f t="shared" si="32"/>
        <v>1.0515074344861577E-3</v>
      </c>
      <c r="W74" s="496">
        <f t="shared" si="32"/>
        <v>1.0516252390057358E-3</v>
      </c>
      <c r="X74" s="496">
        <f t="shared" si="32"/>
        <v>1.0615280756285082E-3</v>
      </c>
      <c r="Y74" s="496">
        <f t="shared" si="32"/>
        <v>1.0508674127931768E-3</v>
      </c>
      <c r="Z74" s="496">
        <f t="shared" si="32"/>
        <v>1.0491643284128338E-3</v>
      </c>
      <c r="AA74" s="496">
        <f t="shared" si="32"/>
        <v>1.0520761188615149E-3</v>
      </c>
      <c r="AB74" s="496">
        <f t="shared" si="32"/>
        <v>1.0507432086109684E-3</v>
      </c>
      <c r="AC74" s="496">
        <f t="shared" si="32"/>
        <v>1.0499683744465526E-3</v>
      </c>
      <c r="AD74" s="496">
        <f t="shared" si="29"/>
        <v>1.0487636836867486E-3</v>
      </c>
      <c r="AE74" s="496">
        <f t="shared" si="30"/>
        <v>1.0529375761725139E-3</v>
      </c>
      <c r="AF74" s="496">
        <f t="shared" si="31"/>
        <v>1.0628126737076153E-3</v>
      </c>
      <c r="AG74" s="347"/>
      <c r="AH74" s="347"/>
      <c r="AI74" s="347"/>
      <c r="AJ74" s="347"/>
      <c r="AK74" s="347"/>
      <c r="AL74" s="347"/>
      <c r="AM74" s="347"/>
      <c r="AN74" s="347"/>
      <c r="AO74" s="347"/>
      <c r="AP74" s="347"/>
      <c r="AQ74" s="347"/>
      <c r="AR74" s="347"/>
      <c r="AS74" s="347"/>
      <c r="AT74" s="347"/>
      <c r="AU74" s="347"/>
      <c r="AV74" s="347"/>
      <c r="AW74" s="347"/>
      <c r="AX74" s="347"/>
      <c r="AY74" s="347"/>
      <c r="AZ74" s="347"/>
      <c r="BA74" s="347"/>
      <c r="BB74" s="347"/>
      <c r="BC74" s="347"/>
      <c r="BD74" s="347"/>
      <c r="BE74" s="347"/>
      <c r="BF74" s="347"/>
      <c r="BG74" s="347"/>
      <c r="BH74" s="347"/>
      <c r="BI74" s="347"/>
      <c r="BJ74" s="347"/>
    </row>
    <row r="75" spans="1:62" ht="12.75" customHeight="1" outlineLevel="1" x14ac:dyDescent="0.2">
      <c r="A75" s="346" t="s">
        <v>450</v>
      </c>
      <c r="B75" s="318" t="s">
        <v>383</v>
      </c>
      <c r="C75" s="496">
        <f>C74*$C$103/$C$102</f>
        <v>8.5025013896609231E-4</v>
      </c>
      <c r="D75" s="496">
        <f t="shared" ref="D75:AC75" si="33">D74*$C$103/$C$102</f>
        <v>8.4132110783961605E-4</v>
      </c>
      <c r="E75" s="496">
        <f t="shared" si="33"/>
        <v>8.3988900649369222E-4</v>
      </c>
      <c r="F75" s="496">
        <f t="shared" si="33"/>
        <v>8.4103408283138156E-4</v>
      </c>
      <c r="G75" s="496">
        <f t="shared" si="33"/>
        <v>8.4223252065283069E-4</v>
      </c>
      <c r="H75" s="496">
        <f t="shared" si="33"/>
        <v>8.487516428728162E-4</v>
      </c>
      <c r="I75" s="496">
        <f t="shared" si="33"/>
        <v>8.4263533642690782E-4</v>
      </c>
      <c r="J75" s="496">
        <f t="shared" si="33"/>
        <v>8.4128261119411566E-4</v>
      </c>
      <c r="K75" s="496">
        <f t="shared" si="33"/>
        <v>8.4071137116021244E-4</v>
      </c>
      <c r="L75" s="496">
        <f t="shared" si="33"/>
        <v>8.4090319231767431E-4</v>
      </c>
      <c r="M75" s="496">
        <f t="shared" si="33"/>
        <v>8.4924703657848213E-4</v>
      </c>
      <c r="N75" s="496">
        <f t="shared" si="33"/>
        <v>8.4049628927118387E-4</v>
      </c>
      <c r="O75" s="496">
        <f t="shared" si="33"/>
        <v>8.4014002333722285E-4</v>
      </c>
      <c r="P75" s="496">
        <f t="shared" si="33"/>
        <v>8.3901094694939895E-4</v>
      </c>
      <c r="Q75" s="496">
        <f t="shared" si="33"/>
        <v>8.3936516368948776E-4</v>
      </c>
      <c r="R75" s="496">
        <f t="shared" si="33"/>
        <v>8.4880430047866917E-4</v>
      </c>
      <c r="S75" s="496">
        <f t="shared" si="33"/>
        <v>8.395584454861636E-4</v>
      </c>
      <c r="T75" s="496">
        <f t="shared" si="33"/>
        <v>8.4268622155972287E-4</v>
      </c>
      <c r="U75" s="496">
        <f t="shared" si="33"/>
        <v>8.4114805342426805E-4</v>
      </c>
      <c r="V75" s="496">
        <f t="shared" si="33"/>
        <v>8.412059475889262E-4</v>
      </c>
      <c r="W75" s="496">
        <f t="shared" si="33"/>
        <v>8.4130019120458874E-4</v>
      </c>
      <c r="X75" s="496">
        <f t="shared" si="33"/>
        <v>8.4922246050280663E-4</v>
      </c>
      <c r="Y75" s="496">
        <f t="shared" si="33"/>
        <v>8.4069393023454152E-4</v>
      </c>
      <c r="Z75" s="496">
        <f t="shared" si="33"/>
        <v>8.393314627302671E-4</v>
      </c>
      <c r="AA75" s="496">
        <f t="shared" si="33"/>
        <v>8.4166089508921199E-4</v>
      </c>
      <c r="AB75" s="496">
        <f t="shared" si="33"/>
        <v>8.405945668887747E-4</v>
      </c>
      <c r="AC75" s="496">
        <f t="shared" si="33"/>
        <v>8.3997469955724216E-4</v>
      </c>
      <c r="AD75" s="496">
        <f t="shared" si="29"/>
        <v>8.3901094694939895E-4</v>
      </c>
      <c r="AE75" s="496">
        <f t="shared" si="30"/>
        <v>8.42350060938011E-4</v>
      </c>
      <c r="AF75" s="496">
        <f t="shared" si="31"/>
        <v>8.5025013896609231E-4</v>
      </c>
      <c r="AG75" s="347"/>
      <c r="AH75" s="347"/>
      <c r="AI75" s="347"/>
      <c r="AJ75" s="347"/>
      <c r="AK75" s="347"/>
      <c r="AL75" s="347"/>
      <c r="AM75" s="347"/>
      <c r="AN75" s="347"/>
      <c r="AO75" s="347"/>
      <c r="AP75" s="347"/>
      <c r="AQ75" s="347"/>
      <c r="AR75" s="347"/>
      <c r="AS75" s="347"/>
      <c r="AT75" s="347"/>
      <c r="AU75" s="347"/>
      <c r="AV75" s="347"/>
      <c r="AW75" s="347"/>
      <c r="AX75" s="347"/>
      <c r="AY75" s="347"/>
      <c r="AZ75" s="347"/>
      <c r="BA75" s="347"/>
      <c r="BB75" s="347"/>
      <c r="BC75" s="347"/>
      <c r="BD75" s="347"/>
      <c r="BE75" s="347"/>
      <c r="BF75" s="347"/>
      <c r="BG75" s="347"/>
      <c r="BH75" s="347"/>
      <c r="BI75" s="347"/>
      <c r="BJ75" s="347"/>
    </row>
    <row r="76" spans="1:62" ht="12.75" customHeight="1" outlineLevel="1" x14ac:dyDescent="0.2">
      <c r="A76" s="346"/>
      <c r="C76" s="347"/>
      <c r="D76" s="347"/>
      <c r="E76" s="347"/>
      <c r="F76" s="347"/>
      <c r="G76" s="347"/>
      <c r="H76" s="347"/>
      <c r="I76" s="347"/>
      <c r="J76" s="347"/>
      <c r="K76" s="347"/>
      <c r="L76" s="347"/>
      <c r="M76" s="347"/>
      <c r="N76" s="347"/>
      <c r="O76" s="347"/>
      <c r="P76" s="347"/>
      <c r="Q76" s="347"/>
      <c r="R76" s="347"/>
      <c r="S76" s="347"/>
      <c r="T76" s="347"/>
      <c r="U76" s="347"/>
      <c r="V76" s="347"/>
      <c r="W76" s="347"/>
      <c r="X76" s="347"/>
      <c r="Y76" s="347"/>
      <c r="Z76" s="347"/>
      <c r="AA76" s="347"/>
      <c r="AB76" s="347"/>
      <c r="AC76" s="347"/>
      <c r="AD76" s="554"/>
      <c r="AE76" s="554"/>
      <c r="AF76" s="554"/>
      <c r="AG76" s="347"/>
      <c r="AH76" s="347"/>
      <c r="AI76" s="347"/>
      <c r="AJ76" s="347"/>
      <c r="AK76" s="347"/>
      <c r="AL76" s="347"/>
      <c r="AM76" s="347"/>
      <c r="AN76" s="347"/>
      <c r="AO76" s="347"/>
      <c r="AP76" s="347"/>
      <c r="AQ76" s="347"/>
      <c r="AR76" s="347"/>
      <c r="AS76" s="347"/>
      <c r="AT76" s="347"/>
      <c r="AU76" s="347"/>
      <c r="AV76" s="347"/>
      <c r="AW76" s="347"/>
      <c r="AX76" s="347"/>
      <c r="AY76" s="347"/>
      <c r="AZ76" s="347"/>
      <c r="BA76" s="347"/>
      <c r="BB76" s="347"/>
      <c r="BC76" s="347"/>
      <c r="BD76" s="347"/>
      <c r="BE76" s="347"/>
      <c r="BF76" s="347"/>
      <c r="BG76" s="347"/>
      <c r="BH76" s="347"/>
      <c r="BI76" s="347"/>
      <c r="BJ76" s="347"/>
    </row>
    <row r="77" spans="1:62" ht="12.75" customHeight="1" x14ac:dyDescent="0.2">
      <c r="A77" s="651" t="s">
        <v>328</v>
      </c>
      <c r="B77" s="651"/>
      <c r="C77" s="409"/>
      <c r="D77" s="409"/>
      <c r="E77" s="409"/>
      <c r="F77" s="409"/>
      <c r="G77" s="409"/>
      <c r="H77" s="409"/>
      <c r="I77" s="409"/>
      <c r="J77" s="409"/>
      <c r="K77" s="409"/>
      <c r="L77" s="409"/>
      <c r="M77" s="409"/>
      <c r="N77" s="409"/>
      <c r="O77" s="409"/>
      <c r="P77" s="409"/>
      <c r="Q77" s="409"/>
      <c r="R77" s="409"/>
      <c r="S77" s="409"/>
      <c r="T77" s="409"/>
      <c r="U77" s="409"/>
      <c r="V77" s="409"/>
      <c r="W77" s="409"/>
      <c r="X77" s="409"/>
      <c r="Y77" s="409"/>
      <c r="Z77" s="409"/>
      <c r="AA77" s="409"/>
      <c r="AB77" s="409"/>
      <c r="AC77" s="409"/>
      <c r="AD77" s="562"/>
      <c r="AE77" s="562"/>
      <c r="AF77" s="562"/>
      <c r="AG77" s="409"/>
      <c r="AH77" s="409"/>
      <c r="AI77" s="409"/>
      <c r="AJ77" s="409"/>
      <c r="AK77" s="409"/>
      <c r="AL77" s="409"/>
      <c r="AM77" s="409"/>
      <c r="AN77" s="409"/>
      <c r="AO77" s="409"/>
      <c r="AP77" s="409"/>
      <c r="AQ77" s="409"/>
      <c r="AR77" s="409"/>
      <c r="AS77" s="409"/>
      <c r="AT77" s="409"/>
      <c r="AU77" s="409"/>
      <c r="AV77" s="409"/>
      <c r="AW77" s="409"/>
      <c r="AX77" s="409"/>
      <c r="AY77" s="409"/>
      <c r="AZ77" s="409"/>
      <c r="BA77" s="409"/>
      <c r="BB77" s="409"/>
      <c r="BC77" s="409"/>
      <c r="BD77" s="409"/>
      <c r="BE77" s="409"/>
      <c r="BF77" s="409"/>
      <c r="BG77" s="409"/>
      <c r="BH77" s="409"/>
      <c r="BI77" s="409"/>
      <c r="BJ77" s="409"/>
    </row>
    <row r="78" spans="1:62" ht="12.75" customHeight="1" x14ac:dyDescent="0.2">
      <c r="A78" s="652"/>
      <c r="B78" s="652"/>
    </row>
    <row r="79" spans="1:62" ht="12.75" customHeight="1" x14ac:dyDescent="0.2"/>
    <row r="81" spans="1:4" ht="25.5" x14ac:dyDescent="0.2">
      <c r="A81" s="653" t="s">
        <v>366</v>
      </c>
      <c r="B81" s="654"/>
      <c r="C81" s="655"/>
      <c r="D81" s="516" t="s">
        <v>447</v>
      </c>
    </row>
    <row r="82" spans="1:4" ht="25.5" x14ac:dyDescent="0.2">
      <c r="A82" s="510" t="s">
        <v>326</v>
      </c>
      <c r="B82" s="509" t="s">
        <v>496</v>
      </c>
      <c r="C82" s="564">
        <f>MAX(C30:AC30)</f>
        <v>3496.2000000000003</v>
      </c>
      <c r="D82" s="512">
        <v>1</v>
      </c>
    </row>
    <row r="83" spans="1:4" x14ac:dyDescent="0.2">
      <c r="A83" s="509" t="s">
        <v>228</v>
      </c>
      <c r="B83" s="509" t="s">
        <v>496</v>
      </c>
      <c r="C83" s="564">
        <f>MAX(C31:AC31)</f>
        <v>1001.3000000000001</v>
      </c>
      <c r="D83" s="512">
        <v>1</v>
      </c>
    </row>
    <row r="84" spans="1:4" x14ac:dyDescent="0.2">
      <c r="A84" s="509" t="s">
        <v>448</v>
      </c>
      <c r="B84" s="509" t="s">
        <v>496</v>
      </c>
      <c r="C84" s="564">
        <f>C82+C83</f>
        <v>4497.5</v>
      </c>
      <c r="D84" s="512">
        <v>1</v>
      </c>
    </row>
    <row r="85" spans="1:4" x14ac:dyDescent="0.2">
      <c r="A85" s="318"/>
      <c r="B85" s="318"/>
      <c r="C85" s="319"/>
    </row>
    <row r="86" spans="1:4" ht="25.5" x14ac:dyDescent="0.2">
      <c r="A86" s="653" t="s">
        <v>367</v>
      </c>
      <c r="B86" s="654"/>
      <c r="C86" s="655"/>
      <c r="D86" s="516" t="s">
        <v>447</v>
      </c>
    </row>
    <row r="87" spans="1:4" ht="15" customHeight="1" x14ac:dyDescent="0.2">
      <c r="A87" s="321" t="s">
        <v>368</v>
      </c>
      <c r="B87" s="321" t="s">
        <v>160</v>
      </c>
      <c r="C87" s="320">
        <f>MAX(C54:AC54)</f>
        <v>32.9</v>
      </c>
      <c r="D87" s="512">
        <v>1</v>
      </c>
    </row>
    <row r="88" spans="1:4" ht="15" customHeight="1" x14ac:dyDescent="0.2">
      <c r="A88" s="321" t="s">
        <v>3</v>
      </c>
      <c r="B88" s="321" t="s">
        <v>160</v>
      </c>
      <c r="C88" s="511">
        <f>MAX(C56:AC56)</f>
        <v>20</v>
      </c>
      <c r="D88" s="512">
        <v>1</v>
      </c>
    </row>
    <row r="89" spans="1:4" ht="15" customHeight="1" x14ac:dyDescent="0.2">
      <c r="A89" s="519" t="s">
        <v>161</v>
      </c>
      <c r="B89" s="321" t="s">
        <v>160</v>
      </c>
      <c r="C89" s="320">
        <f>MAX(C58:AC58)</f>
        <v>11.4</v>
      </c>
      <c r="D89" s="512">
        <v>1</v>
      </c>
    </row>
    <row r="90" spans="1:4" ht="15" customHeight="1" x14ac:dyDescent="0.2">
      <c r="A90" s="521" t="s">
        <v>453</v>
      </c>
      <c r="B90" s="321" t="s">
        <v>160</v>
      </c>
      <c r="C90" s="511">
        <f>MAX(C67:AC67)</f>
        <v>5.952</v>
      </c>
      <c r="D90" s="512">
        <v>1</v>
      </c>
    </row>
    <row r="91" spans="1:4" ht="13.5" customHeight="1" x14ac:dyDescent="0.2">
      <c r="A91" s="520" t="s">
        <v>369</v>
      </c>
      <c r="B91" s="321" t="s">
        <v>160</v>
      </c>
      <c r="C91" s="511">
        <f>MAX(C70:AC70)</f>
        <v>22.6</v>
      </c>
      <c r="D91" s="512">
        <v>1</v>
      </c>
    </row>
    <row r="92" spans="1:4" ht="14.25" x14ac:dyDescent="0.2">
      <c r="A92" s="521" t="s">
        <v>454</v>
      </c>
      <c r="B92" s="321" t="s">
        <v>160</v>
      </c>
      <c r="C92" s="509">
        <f>MAX(C73:AC73)</f>
        <v>3.8240000000000003</v>
      </c>
      <c r="D92" s="512">
        <v>1</v>
      </c>
    </row>
    <row r="93" spans="1:4" ht="14.25" x14ac:dyDescent="0.2">
      <c r="A93" s="519" t="s">
        <v>370</v>
      </c>
      <c r="B93" s="321" t="s">
        <v>160</v>
      </c>
      <c r="C93" s="506">
        <f>MAX(C59:AC59)</f>
        <v>528000</v>
      </c>
      <c r="D93" s="512">
        <v>1</v>
      </c>
    </row>
    <row r="94" spans="1:4" ht="14.25" x14ac:dyDescent="0.2">
      <c r="A94" s="519" t="s">
        <v>371</v>
      </c>
      <c r="B94" s="321" t="s">
        <v>160</v>
      </c>
      <c r="C94" s="511">
        <f>MAX(C60:AC60)</f>
        <v>9.9152784500000006</v>
      </c>
      <c r="D94" s="512">
        <v>1</v>
      </c>
    </row>
    <row r="95" spans="1:4" ht="14.25" x14ac:dyDescent="0.2">
      <c r="A95" s="519" t="s">
        <v>372</v>
      </c>
      <c r="B95" s="321" t="s">
        <v>160</v>
      </c>
      <c r="C95" s="511">
        <f>MAX(C61:AC61)</f>
        <v>0.99152784499999991</v>
      </c>
      <c r="D95" s="512">
        <v>1</v>
      </c>
    </row>
    <row r="96" spans="1:4" x14ac:dyDescent="0.2">
      <c r="A96" s="519" t="s">
        <v>63</v>
      </c>
      <c r="B96" s="321" t="s">
        <v>160</v>
      </c>
      <c r="C96" s="506">
        <f>MAX(C62:AC62)</f>
        <v>528010.90680629504</v>
      </c>
      <c r="D96" s="512">
        <v>1</v>
      </c>
    </row>
    <row r="97" spans="1:4" ht="14.25" x14ac:dyDescent="0.2">
      <c r="A97" s="519" t="s">
        <v>373</v>
      </c>
      <c r="B97" s="321" t="s">
        <v>160</v>
      </c>
      <c r="C97" s="506">
        <f>MAX(C63:AC63)</f>
        <v>528543.35725906002</v>
      </c>
      <c r="D97" s="512">
        <v>1</v>
      </c>
    </row>
    <row r="98" spans="1:4" ht="14.25" x14ac:dyDescent="0.2">
      <c r="A98" s="521" t="s">
        <v>453</v>
      </c>
      <c r="B98" s="320" t="s">
        <v>383</v>
      </c>
      <c r="C98" s="513">
        <f>MAX(C69:AC69)</f>
        <v>1.3234018899388549E-3</v>
      </c>
      <c r="D98" s="509" t="s">
        <v>497</v>
      </c>
    </row>
    <row r="99" spans="1:4" ht="14.25" x14ac:dyDescent="0.2">
      <c r="A99" s="520" t="s">
        <v>369</v>
      </c>
      <c r="B99" s="320" t="s">
        <v>383</v>
      </c>
      <c r="C99" s="513">
        <f>MAX(C71:AC71)</f>
        <v>6.7715468544727502E-3</v>
      </c>
      <c r="D99" s="512">
        <v>23</v>
      </c>
    </row>
    <row r="100" spans="1:4" ht="14.25" x14ac:dyDescent="0.2">
      <c r="A100" s="521" t="s">
        <v>454</v>
      </c>
      <c r="B100" s="320" t="s">
        <v>383</v>
      </c>
      <c r="C100" s="518">
        <f>MAX(C75:AC75)</f>
        <v>8.5025013896609231E-4</v>
      </c>
      <c r="D100" s="522">
        <v>1</v>
      </c>
    </row>
    <row r="101" spans="1:4" x14ac:dyDescent="0.2">
      <c r="A101" s="472"/>
      <c r="B101" s="472"/>
      <c r="C101" s="514"/>
      <c r="D101" s="473"/>
    </row>
    <row r="102" spans="1:4" x14ac:dyDescent="0.2">
      <c r="A102" s="474" t="s">
        <v>427</v>
      </c>
      <c r="B102" s="321" t="s">
        <v>428</v>
      </c>
      <c r="C102" s="475">
        <v>0.5</v>
      </c>
      <c r="D102" s="319"/>
    </row>
    <row r="103" spans="1:4" x14ac:dyDescent="0.2">
      <c r="A103" s="474" t="s">
        <v>429</v>
      </c>
      <c r="B103" s="321" t="s">
        <v>428</v>
      </c>
      <c r="C103" s="475">
        <v>0.4</v>
      </c>
      <c r="D103" s="319"/>
    </row>
    <row r="104" spans="1:4" x14ac:dyDescent="0.2">
      <c r="A104" s="321" t="s">
        <v>249</v>
      </c>
      <c r="B104" s="321" t="s">
        <v>221</v>
      </c>
      <c r="C104" s="506">
        <f>C24</f>
        <v>23482.187209641314</v>
      </c>
    </row>
    <row r="105" spans="1:4" x14ac:dyDescent="0.2">
      <c r="A105" s="321" t="s">
        <v>250</v>
      </c>
      <c r="B105" s="321" t="s">
        <v>221</v>
      </c>
      <c r="C105" s="506">
        <f>C25</f>
        <v>21185.2218960102</v>
      </c>
    </row>
    <row r="106" spans="1:4" x14ac:dyDescent="0.2">
      <c r="A106" s="321" t="s">
        <v>150</v>
      </c>
      <c r="B106" s="493">
        <v>2.2046199999999998</v>
      </c>
      <c r="C106" s="515"/>
    </row>
    <row r="107" spans="1:4" ht="14.25" x14ac:dyDescent="0.2">
      <c r="A107" s="321" t="s">
        <v>374</v>
      </c>
      <c r="B107" s="322">
        <v>53.02</v>
      </c>
      <c r="C107" s="515"/>
    </row>
    <row r="108" spans="1:4" ht="14.25" x14ac:dyDescent="0.2">
      <c r="A108" s="321" t="s">
        <v>375</v>
      </c>
      <c r="B108" s="322">
        <f>B107*B106</f>
        <v>116.88895239999999</v>
      </c>
      <c r="C108" s="515"/>
    </row>
    <row r="109" spans="1:4" ht="14.25" x14ac:dyDescent="0.2">
      <c r="A109" s="321" t="s">
        <v>376</v>
      </c>
      <c r="B109" s="323">
        <v>1E-3</v>
      </c>
      <c r="C109" s="515"/>
    </row>
    <row r="110" spans="1:4" ht="14.25" x14ac:dyDescent="0.2">
      <c r="A110" s="321" t="s">
        <v>377</v>
      </c>
      <c r="B110" s="323">
        <f>B109*B106</f>
        <v>2.20462E-3</v>
      </c>
      <c r="C110" s="515"/>
    </row>
    <row r="111" spans="1:4" ht="14.25" x14ac:dyDescent="0.2">
      <c r="A111" s="321" t="s">
        <v>378</v>
      </c>
      <c r="B111" s="323">
        <v>1E-4</v>
      </c>
      <c r="C111" s="515"/>
    </row>
    <row r="112" spans="1:4" ht="14.25" x14ac:dyDescent="0.2">
      <c r="A112" s="321" t="s">
        <v>379</v>
      </c>
      <c r="B112" s="323">
        <f>B111*B106</f>
        <v>2.2046199999999999E-4</v>
      </c>
      <c r="C112" s="515"/>
    </row>
    <row r="113" spans="1:3" ht="14.25" x14ac:dyDescent="0.2">
      <c r="A113" s="321" t="s">
        <v>380</v>
      </c>
      <c r="B113" s="324">
        <v>1</v>
      </c>
      <c r="C113" s="515"/>
    </row>
    <row r="114" spans="1:3" ht="14.25" x14ac:dyDescent="0.2">
      <c r="A114" s="321" t="s">
        <v>381</v>
      </c>
      <c r="B114" s="324">
        <v>25</v>
      </c>
      <c r="C114" s="515"/>
    </row>
    <row r="115" spans="1:3" ht="14.25" x14ac:dyDescent="0.2">
      <c r="A115" s="321" t="s">
        <v>382</v>
      </c>
      <c r="B115" s="324">
        <v>298</v>
      </c>
      <c r="C115" s="515"/>
    </row>
    <row r="116" spans="1:3" x14ac:dyDescent="0.2">
      <c r="A116" s="515"/>
      <c r="B116" s="515"/>
      <c r="C116" s="515"/>
    </row>
  </sheetData>
  <mergeCells count="3">
    <mergeCell ref="A77:B78"/>
    <mergeCell ref="A81:C81"/>
    <mergeCell ref="A86:C86"/>
  </mergeCells>
  <conditionalFormatting sqref="B76 B64:B65 B70:B73 B4:B59">
    <cfRule type="cellIs" dxfId="10" priority="16" operator="equal">
      <formula>"Do not display"</formula>
    </cfRule>
  </conditionalFormatting>
  <conditionalFormatting sqref="B60:B63">
    <cfRule type="cellIs" dxfId="9" priority="14" operator="equal">
      <formula>"Do not display"</formula>
    </cfRule>
  </conditionalFormatting>
  <conditionalFormatting sqref="B74:B75">
    <cfRule type="cellIs" dxfId="8" priority="12" operator="equal">
      <formula>"Do not display"</formula>
    </cfRule>
  </conditionalFormatting>
  <conditionalFormatting sqref="B84">
    <cfRule type="cellIs" dxfId="7" priority="8" operator="equal">
      <formula>"Do not display"</formula>
    </cfRule>
  </conditionalFormatting>
  <conditionalFormatting sqref="B84">
    <cfRule type="expression" dxfId="6" priority="7">
      <formula>$B$21="Unit Error!"</formula>
    </cfRule>
  </conditionalFormatting>
  <conditionalFormatting sqref="B82:B83">
    <cfRule type="cellIs" dxfId="5" priority="6" operator="equal">
      <formula>"Do not display"</formula>
    </cfRule>
  </conditionalFormatting>
  <conditionalFormatting sqref="B98">
    <cfRule type="cellIs" dxfId="4" priority="5" operator="equal">
      <formula>"Do not display"</formula>
    </cfRule>
  </conditionalFormatting>
  <conditionalFormatting sqref="B99">
    <cfRule type="cellIs" dxfId="3" priority="4" operator="equal">
      <formula>"Do not display"</formula>
    </cfRule>
  </conditionalFormatting>
  <conditionalFormatting sqref="B100">
    <cfRule type="cellIs" dxfId="2" priority="3" operator="equal">
      <formula>"Do not display"</formula>
    </cfRule>
  </conditionalFormatting>
  <conditionalFormatting sqref="B66:B67">
    <cfRule type="cellIs" dxfId="1" priority="2" operator="equal">
      <formula>"Do not display"</formula>
    </cfRule>
  </conditionalFormatting>
  <conditionalFormatting sqref="B68:B69">
    <cfRule type="cellIs" dxfId="0" priority="1" operator="equal">
      <formula>"Do not display"</formula>
    </cfRule>
  </conditionalFormatting>
  <pageMargins left="0.75" right="0.75" top="0.75" bottom="0.75" header="0.2" footer="0.25"/>
  <pageSetup scale="83" firstPageNumber="3" fitToWidth="0" fitToHeight="2" orientation="portrait" useFirstPageNumber="1" r:id="rId1"/>
  <headerFooter alignWithMargins="0">
    <oddHeader>&amp;L&amp;"GELogoFont,Regular"&amp;30g&amp;"Arial,Bold"&amp;14 GE Power &amp;&amp; Water&amp;C&amp;"Arial,Regular"&amp;18_x000D_&amp;"Arial,Regular"&amp;10 ESC Harrison County, WV&amp;R&amp;"Arial,Regular"&amp;18_x000D_&amp;"Arial,Regular"&amp;10Spec. No. T218</oddHeader>
    <oddFooter>&amp;LDrawing Number: 100A6254&amp;CClass I GE Information
Copyright 2015, General Electric Company
and its Affiliates&amp;R&amp;8Page &amp;P of 15
Date: 30-Sep-2016 Rev. D
By : R. Eluripati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7FFFF"/>
  </sheetPr>
  <dimension ref="A1:L45"/>
  <sheetViews>
    <sheetView showGridLines="0" topLeftCell="A13" zoomScaleNormal="100" zoomScaleSheetLayoutView="100" workbookViewId="0">
      <selection activeCell="C8" sqref="C8"/>
    </sheetView>
  </sheetViews>
  <sheetFormatPr defaultColWidth="9.140625" defaultRowHeight="12.75" outlineLevelRow="1" x14ac:dyDescent="0.2"/>
  <cols>
    <col min="1" max="2" width="9.140625" style="349"/>
    <col min="3" max="12" width="10.7109375" style="349" customWidth="1"/>
    <col min="13" max="16384" width="9.140625" style="349"/>
  </cols>
  <sheetData>
    <row r="1" spans="1:12" s="348" customFormat="1" ht="15.75" customHeight="1" x14ac:dyDescent="0.2">
      <c r="F1" s="348" t="s">
        <v>329</v>
      </c>
    </row>
    <row r="3" spans="1:12" collapsed="1" x14ac:dyDescent="0.2"/>
    <row r="4" spans="1:12" x14ac:dyDescent="0.2">
      <c r="A4" s="348" t="s">
        <v>330</v>
      </c>
    </row>
    <row r="5" spans="1:12" ht="12.75" customHeight="1" x14ac:dyDescent="0.2">
      <c r="A5" s="349" t="s">
        <v>331</v>
      </c>
    </row>
    <row r="6" spans="1:12" ht="12.75" customHeight="1" x14ac:dyDescent="0.2">
      <c r="A6" s="349" t="s">
        <v>332</v>
      </c>
    </row>
    <row r="7" spans="1:12" ht="12.75" customHeight="1" x14ac:dyDescent="0.2">
      <c r="A7" s="349" t="s">
        <v>333</v>
      </c>
    </row>
    <row r="8" spans="1:12" ht="12.75" customHeight="1" outlineLevel="1" x14ac:dyDescent="0.2">
      <c r="A8" s="349" t="s">
        <v>334</v>
      </c>
    </row>
    <row r="9" spans="1:12" ht="1.5" customHeight="1" x14ac:dyDescent="0.2"/>
    <row r="10" spans="1:12" ht="12.75" customHeight="1" outlineLevel="1" x14ac:dyDescent="0.2">
      <c r="A10" s="349" t="s">
        <v>335</v>
      </c>
    </row>
    <row r="11" spans="1:12" ht="12.75" customHeight="1" outlineLevel="1" x14ac:dyDescent="0.2">
      <c r="A11" s="349" t="s">
        <v>336</v>
      </c>
    </row>
    <row r="12" spans="1:12" ht="1.5" customHeight="1" x14ac:dyDescent="0.2"/>
    <row r="13" spans="1:12" ht="12.75" customHeight="1" outlineLevel="1" x14ac:dyDescent="0.2">
      <c r="A13" s="349" t="s">
        <v>337</v>
      </c>
    </row>
    <row r="14" spans="1:12" ht="12.75" customHeight="1" outlineLevel="1" x14ac:dyDescent="0.2">
      <c r="A14" s="349" t="s">
        <v>338</v>
      </c>
    </row>
    <row r="15" spans="1:12" ht="12.75" customHeight="1" outlineLevel="1" x14ac:dyDescent="0.2">
      <c r="A15" s="349" t="s">
        <v>339</v>
      </c>
    </row>
    <row r="16" spans="1:12" ht="12.75" customHeight="1" x14ac:dyDescent="0.2">
      <c r="A16" s="349" t="s">
        <v>340</v>
      </c>
      <c r="L16" s="350"/>
    </row>
    <row r="17" spans="1:12" ht="12.75" customHeight="1" x14ac:dyDescent="0.2">
      <c r="A17" s="349" t="s">
        <v>341</v>
      </c>
      <c r="L17" s="350"/>
    </row>
    <row r="18" spans="1:12" ht="12.75" customHeight="1" x14ac:dyDescent="0.2">
      <c r="A18" s="349" t="s">
        <v>342</v>
      </c>
      <c r="L18" s="350"/>
    </row>
    <row r="19" spans="1:12" ht="12.75" customHeight="1" x14ac:dyDescent="0.2">
      <c r="A19" s="349" t="s">
        <v>343</v>
      </c>
      <c r="L19" s="350"/>
    </row>
    <row r="20" spans="1:12" ht="12.75" customHeight="1" x14ac:dyDescent="0.2">
      <c r="A20" s="349" t="s">
        <v>344</v>
      </c>
      <c r="L20" s="350"/>
    </row>
    <row r="21" spans="1:12" ht="12.75" customHeight="1" x14ac:dyDescent="0.2">
      <c r="A21" s="349" t="s">
        <v>345</v>
      </c>
      <c r="L21" s="350"/>
    </row>
    <row r="22" spans="1:12" ht="12.75" customHeight="1" x14ac:dyDescent="0.2">
      <c r="A22" s="349" t="s">
        <v>346</v>
      </c>
    </row>
    <row r="23" spans="1:12" ht="12.75" customHeight="1" x14ac:dyDescent="0.2">
      <c r="A23" s="349" t="s">
        <v>347</v>
      </c>
    </row>
    <row r="24" spans="1:12" ht="12.75" customHeight="1" x14ac:dyDescent="0.2">
      <c r="A24" s="349" t="s">
        <v>348</v>
      </c>
    </row>
    <row r="25" spans="1:12" ht="12.75" customHeight="1" x14ac:dyDescent="0.2">
      <c r="A25" s="349" t="s">
        <v>349</v>
      </c>
    </row>
    <row r="26" spans="1:12" ht="12.75" customHeight="1" x14ac:dyDescent="0.2">
      <c r="A26" s="349" t="s">
        <v>350</v>
      </c>
    </row>
    <row r="27" spans="1:12" ht="12.75" customHeight="1" x14ac:dyDescent="0.2">
      <c r="A27" s="349" t="s">
        <v>351</v>
      </c>
    </row>
    <row r="28" spans="1:12" ht="12.75" customHeight="1" x14ac:dyDescent="0.2">
      <c r="A28" s="349" t="s">
        <v>352</v>
      </c>
    </row>
    <row r="29" spans="1:12" ht="12.75" customHeight="1" x14ac:dyDescent="0.2">
      <c r="A29" s="349" t="s">
        <v>353</v>
      </c>
    </row>
    <row r="30" spans="1:12" ht="12.75" customHeight="1" x14ac:dyDescent="0.2">
      <c r="A30" s="349" t="s">
        <v>354</v>
      </c>
    </row>
    <row r="31" spans="1:12" ht="12.75" customHeight="1" x14ac:dyDescent="0.2">
      <c r="A31" s="349" t="s">
        <v>355</v>
      </c>
    </row>
    <row r="32" spans="1:12" ht="12.75" customHeight="1" x14ac:dyDescent="0.2">
      <c r="A32" s="349" t="s">
        <v>356</v>
      </c>
    </row>
    <row r="33" spans="1:1" ht="12.75" customHeight="1" x14ac:dyDescent="0.2">
      <c r="A33" s="351" t="s">
        <v>357</v>
      </c>
    </row>
    <row r="34" spans="1:1" ht="12.75" customHeight="1" x14ac:dyDescent="0.2">
      <c r="A34" s="351" t="s">
        <v>358</v>
      </c>
    </row>
    <row r="35" spans="1:1" ht="12.75" customHeight="1" x14ac:dyDescent="0.2">
      <c r="A35" s="351" t="s">
        <v>485</v>
      </c>
    </row>
    <row r="36" spans="1:1" ht="12.75" customHeight="1" x14ac:dyDescent="0.2">
      <c r="A36" s="349" t="s">
        <v>486</v>
      </c>
    </row>
    <row r="37" spans="1:1" collapsed="1" x14ac:dyDescent="0.2"/>
    <row r="38" spans="1:1" outlineLevel="1" x14ac:dyDescent="0.2">
      <c r="A38" s="348" t="s">
        <v>359</v>
      </c>
    </row>
    <row r="39" spans="1:1" outlineLevel="1" x14ac:dyDescent="0.2">
      <c r="A39" s="349" t="s">
        <v>360</v>
      </c>
    </row>
    <row r="40" spans="1:1" outlineLevel="1" x14ac:dyDescent="0.2">
      <c r="A40" s="349" t="s">
        <v>361</v>
      </c>
    </row>
    <row r="41" spans="1:1" outlineLevel="1" x14ac:dyDescent="0.2">
      <c r="A41" s="349" t="s">
        <v>362</v>
      </c>
    </row>
    <row r="42" spans="1:1" outlineLevel="1" x14ac:dyDescent="0.2">
      <c r="A42" s="349" t="s">
        <v>363</v>
      </c>
    </row>
    <row r="43" spans="1:1" outlineLevel="1" x14ac:dyDescent="0.2">
      <c r="A43" s="349" t="s">
        <v>364</v>
      </c>
    </row>
    <row r="44" spans="1:1" x14ac:dyDescent="0.2">
      <c r="A44" s="349" t="s">
        <v>365</v>
      </c>
    </row>
    <row r="45" spans="1:1" s="348" customFormat="1" x14ac:dyDescent="0.2"/>
  </sheetData>
  <pageMargins left="0.75" right="0.75" top="0.75" bottom="0.75" header="0.2" footer="0.25"/>
  <pageSetup scale="83" firstPageNumber="15" orientation="portrait" useFirstPageNumber="1" horizontalDpi="4294967292" r:id="rId1"/>
  <headerFooter alignWithMargins="0">
    <oddHeader>&amp;L&amp;"GELogoFont,Regular"&amp;30g&amp;"Arial,Bold"&amp;14 GE Power &amp;&amp; Water&amp;C&amp;"Arial,Regular"&amp;18_x000D_&amp;"Arial,Regular"&amp;10 ESC Harrison County, WV&amp;R&amp;"Arial,Regular"&amp;18_x000D_&amp;"Arial,Regular"&amp;10Spec. No. T218</oddHeader>
    <oddFooter>&amp;LDrawing Number: 100A6254&amp;CClass I GE Information
Copyright 2015, General Electric Company
and its Affiliates&amp;R&amp;8Page &amp;P of 15
Date: 30-Sep-2016 Rev. D
By : R. Eluripati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54"/>
  <sheetViews>
    <sheetView zoomScale="110" zoomScaleNormal="110" workbookViewId="0">
      <selection activeCell="F2" sqref="F2"/>
    </sheetView>
  </sheetViews>
  <sheetFormatPr defaultColWidth="9.140625" defaultRowHeight="13.5" x14ac:dyDescent="0.25"/>
  <cols>
    <col min="1" max="2" width="9.140625" style="268"/>
    <col min="3" max="3" width="23.5703125" style="268" customWidth="1"/>
    <col min="4" max="5" width="17.85546875" style="268" customWidth="1"/>
    <col min="6" max="6" width="9.140625" style="268"/>
    <col min="7" max="7" width="12.42578125" style="268" bestFit="1" customWidth="1"/>
    <col min="8" max="16384" width="9.140625" style="268"/>
  </cols>
  <sheetData>
    <row r="1" spans="3:17" x14ac:dyDescent="0.25">
      <c r="C1" s="656" t="s">
        <v>464</v>
      </c>
      <c r="D1" s="657"/>
      <c r="E1" s="658"/>
    </row>
    <row r="2" spans="3:17" x14ac:dyDescent="0.25">
      <c r="C2" s="269" t="s">
        <v>282</v>
      </c>
      <c r="D2" s="565">
        <f>'HARRISON T218 REV D 10042016'!AF50</f>
        <v>1733666.6666666667</v>
      </c>
      <c r="E2" s="269" t="s">
        <v>283</v>
      </c>
      <c r="F2" s="566" t="s">
        <v>494</v>
      </c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</row>
    <row r="3" spans="3:17" x14ac:dyDescent="0.25">
      <c r="C3" s="270" t="s">
        <v>284</v>
      </c>
      <c r="D3" s="482">
        <v>21.5</v>
      </c>
      <c r="E3" s="270" t="s">
        <v>285</v>
      </c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1"/>
      <c r="Q3" s="481"/>
    </row>
    <row r="4" spans="3:17" x14ac:dyDescent="0.25">
      <c r="C4" s="270" t="s">
        <v>286</v>
      </c>
      <c r="D4" s="483">
        <f>D2/(PI()*(D3^2/4))/60</f>
        <v>79.587991973650404</v>
      </c>
      <c r="E4" s="270" t="s">
        <v>287</v>
      </c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1"/>
    </row>
    <row r="5" spans="3:17" x14ac:dyDescent="0.25">
      <c r="C5" s="270" t="s">
        <v>288</v>
      </c>
      <c r="D5" s="413">
        <v>205</v>
      </c>
      <c r="E5" s="270" t="s">
        <v>285</v>
      </c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81"/>
    </row>
    <row r="6" spans="3:17" x14ac:dyDescent="0.25">
      <c r="C6" s="270" t="s">
        <v>289</v>
      </c>
      <c r="D6" s="565">
        <f>'HARRISON T218 REV D 10042016'!AD44</f>
        <v>136.03983226046049</v>
      </c>
      <c r="E6" s="482" t="s">
        <v>204</v>
      </c>
      <c r="F6" s="566" t="s">
        <v>495</v>
      </c>
    </row>
    <row r="8" spans="3:17" x14ac:dyDescent="0.25">
      <c r="C8" s="656" t="s">
        <v>79</v>
      </c>
      <c r="D8" s="657"/>
      <c r="E8" s="658"/>
    </row>
    <row r="9" spans="3:17" x14ac:dyDescent="0.25">
      <c r="C9" s="269" t="s">
        <v>282</v>
      </c>
      <c r="D9" s="325">
        <v>13846</v>
      </c>
      <c r="E9" s="269" t="s">
        <v>283</v>
      </c>
    </row>
    <row r="10" spans="3:17" x14ac:dyDescent="0.25">
      <c r="C10" s="270" t="s">
        <v>284</v>
      </c>
      <c r="D10" s="326">
        <v>27</v>
      </c>
      <c r="E10" s="270" t="s">
        <v>290</v>
      </c>
    </row>
    <row r="11" spans="3:17" x14ac:dyDescent="0.25">
      <c r="C11" s="270" t="s">
        <v>284</v>
      </c>
      <c r="D11" s="272">
        <f>D10/12</f>
        <v>2.25</v>
      </c>
      <c r="E11" s="270" t="s">
        <v>285</v>
      </c>
    </row>
    <row r="12" spans="3:17" x14ac:dyDescent="0.25">
      <c r="C12" s="269" t="s">
        <v>286</v>
      </c>
      <c r="D12" s="271">
        <f>D9/(PI()*(D11^2/4))/60</f>
        <v>58.038764564289927</v>
      </c>
      <c r="E12" s="269" t="s">
        <v>287</v>
      </c>
    </row>
    <row r="13" spans="3:17" x14ac:dyDescent="0.25">
      <c r="C13" s="270" t="s">
        <v>288</v>
      </c>
      <c r="D13" s="326">
        <v>35</v>
      </c>
      <c r="E13" s="270" t="s">
        <v>285</v>
      </c>
    </row>
    <row r="14" spans="3:17" x14ac:dyDescent="0.25">
      <c r="C14" s="270" t="s">
        <v>289</v>
      </c>
      <c r="D14" s="272">
        <f>(D15-32)*(5/9)+273.15</f>
        <v>399.81666666666666</v>
      </c>
      <c r="E14" s="270" t="s">
        <v>291</v>
      </c>
    </row>
    <row r="15" spans="3:17" x14ac:dyDescent="0.25">
      <c r="C15" s="270" t="s">
        <v>289</v>
      </c>
      <c r="D15" s="327">
        <v>260</v>
      </c>
      <c r="E15" s="270" t="s">
        <v>204</v>
      </c>
    </row>
    <row r="17" spans="3:6" x14ac:dyDescent="0.25">
      <c r="C17" s="656" t="s">
        <v>389</v>
      </c>
      <c r="D17" s="657"/>
      <c r="E17" s="658"/>
    </row>
    <row r="18" spans="3:6" x14ac:dyDescent="0.25">
      <c r="C18" s="269" t="s">
        <v>282</v>
      </c>
      <c r="D18" s="325">
        <v>973</v>
      </c>
      <c r="E18" s="269" t="s">
        <v>283</v>
      </c>
    </row>
    <row r="19" spans="3:6" x14ac:dyDescent="0.25">
      <c r="C19" s="270" t="s">
        <v>284</v>
      </c>
      <c r="D19" s="326">
        <v>7</v>
      </c>
      <c r="E19" s="270" t="s">
        <v>290</v>
      </c>
    </row>
    <row r="20" spans="3:6" x14ac:dyDescent="0.25">
      <c r="C20" s="270" t="s">
        <v>284</v>
      </c>
      <c r="D20" s="272">
        <f>D19/12</f>
        <v>0.58333333333333337</v>
      </c>
      <c r="E20" s="270" t="s">
        <v>285</v>
      </c>
    </row>
    <row r="21" spans="3:6" x14ac:dyDescent="0.25">
      <c r="C21" s="269" t="s">
        <v>286</v>
      </c>
      <c r="D21" s="271">
        <f>D18/(PI()*(D20^2/4))/60</f>
        <v>60.678958874807179</v>
      </c>
      <c r="E21" s="269" t="s">
        <v>287</v>
      </c>
    </row>
    <row r="22" spans="3:6" x14ac:dyDescent="0.25">
      <c r="C22" s="270" t="s">
        <v>288</v>
      </c>
      <c r="D22" s="326">
        <v>15</v>
      </c>
      <c r="E22" s="270" t="s">
        <v>285</v>
      </c>
    </row>
    <row r="23" spans="3:6" x14ac:dyDescent="0.25">
      <c r="C23" s="270" t="s">
        <v>289</v>
      </c>
      <c r="D23" s="272">
        <f>(D24-32)*(5/9)+273.15</f>
        <v>588.70555555555552</v>
      </c>
      <c r="E23" s="270" t="s">
        <v>291</v>
      </c>
    </row>
    <row r="24" spans="3:6" x14ac:dyDescent="0.25">
      <c r="C24" s="270" t="s">
        <v>289</v>
      </c>
      <c r="D24" s="327">
        <v>600</v>
      </c>
      <c r="E24" s="270" t="s">
        <v>204</v>
      </c>
    </row>
    <row r="26" spans="3:6" x14ac:dyDescent="0.25">
      <c r="C26" s="659" t="s">
        <v>48</v>
      </c>
      <c r="D26" s="659"/>
      <c r="E26" s="659"/>
      <c r="F26" s="659"/>
    </row>
    <row r="27" spans="3:6" x14ac:dyDescent="0.25">
      <c r="C27" s="576"/>
      <c r="D27" s="270" t="s">
        <v>503</v>
      </c>
      <c r="E27" s="270" t="s">
        <v>504</v>
      </c>
      <c r="F27" s="270"/>
    </row>
    <row r="28" spans="3:6" x14ac:dyDescent="0.25">
      <c r="C28" s="269" t="s">
        <v>506</v>
      </c>
      <c r="D28" s="660">
        <v>15295</v>
      </c>
      <c r="E28" s="661"/>
      <c r="F28" s="269" t="s">
        <v>283</v>
      </c>
    </row>
    <row r="29" spans="3:6" x14ac:dyDescent="0.25">
      <c r="C29" s="269" t="s">
        <v>505</v>
      </c>
      <c r="D29" s="325">
        <f>D28/2</f>
        <v>7647.5</v>
      </c>
      <c r="E29" s="325">
        <f>D28/2</f>
        <v>7647.5</v>
      </c>
      <c r="F29" s="269" t="s">
        <v>283</v>
      </c>
    </row>
    <row r="30" spans="3:6" x14ac:dyDescent="0.25">
      <c r="C30" s="270" t="s">
        <v>284</v>
      </c>
      <c r="D30" s="326">
        <v>8</v>
      </c>
      <c r="E30" s="326">
        <v>8</v>
      </c>
      <c r="F30" s="270" t="s">
        <v>292</v>
      </c>
    </row>
    <row r="31" spans="3:6" x14ac:dyDescent="0.25">
      <c r="C31" s="270" t="s">
        <v>284</v>
      </c>
      <c r="D31" s="272">
        <f>D30/12</f>
        <v>0.66666666666666663</v>
      </c>
      <c r="E31" s="272">
        <f>E30/12</f>
        <v>0.66666666666666663</v>
      </c>
      <c r="F31" s="270" t="s">
        <v>285</v>
      </c>
    </row>
    <row r="32" spans="3:6" x14ac:dyDescent="0.25">
      <c r="C32" s="270" t="s">
        <v>286</v>
      </c>
      <c r="D32" s="272">
        <f>D33*0.3048</f>
        <v>111.29504635187946</v>
      </c>
      <c r="E32" s="272">
        <f>E33*0.3048</f>
        <v>111.29504635187946</v>
      </c>
      <c r="F32" s="270" t="s">
        <v>293</v>
      </c>
    </row>
    <row r="33" spans="3:6" x14ac:dyDescent="0.25">
      <c r="C33" s="269" t="s">
        <v>286</v>
      </c>
      <c r="D33" s="271">
        <f>D29/(PI()*(D31^2/4))/60</f>
        <v>365.1412281885809</v>
      </c>
      <c r="E33" s="271">
        <f>E29/(PI()*(E31^2/4))/60</f>
        <v>365.1412281885809</v>
      </c>
      <c r="F33" s="269" t="s">
        <v>287</v>
      </c>
    </row>
    <row r="34" spans="3:6" x14ac:dyDescent="0.25">
      <c r="C34" s="270" t="s">
        <v>288</v>
      </c>
      <c r="D34" s="272">
        <f>D35*0.3048</f>
        <v>4.5720000000000001</v>
      </c>
      <c r="E34" s="272">
        <f>E35*0.3048</f>
        <v>4.5720000000000001</v>
      </c>
      <c r="F34" s="270" t="s">
        <v>294</v>
      </c>
    </row>
    <row r="35" spans="3:6" x14ac:dyDescent="0.25">
      <c r="C35" s="270" t="s">
        <v>288</v>
      </c>
      <c r="D35" s="327">
        <v>15</v>
      </c>
      <c r="E35" s="327">
        <v>15</v>
      </c>
      <c r="F35" s="270" t="s">
        <v>285</v>
      </c>
    </row>
    <row r="36" spans="3:6" x14ac:dyDescent="0.25">
      <c r="C36" s="270" t="s">
        <v>289</v>
      </c>
      <c r="D36" s="272">
        <f>(D37-32)*(5/9)+273.15</f>
        <v>673.15</v>
      </c>
      <c r="E36" s="272">
        <f>(E37-32)*(5/9)+273.15</f>
        <v>673.15</v>
      </c>
      <c r="F36" s="270" t="s">
        <v>291</v>
      </c>
    </row>
    <row r="37" spans="3:6" x14ac:dyDescent="0.25">
      <c r="C37" s="270" t="s">
        <v>289</v>
      </c>
      <c r="D37" s="327">
        <v>752</v>
      </c>
      <c r="E37" s="327">
        <v>752</v>
      </c>
      <c r="F37" s="270" t="s">
        <v>204</v>
      </c>
    </row>
    <row r="39" spans="3:6" x14ac:dyDescent="0.25">
      <c r="C39" s="656" t="s">
        <v>49</v>
      </c>
      <c r="D39" s="657"/>
      <c r="E39" s="658"/>
    </row>
    <row r="40" spans="3:6" x14ac:dyDescent="0.25">
      <c r="C40" s="269" t="s">
        <v>282</v>
      </c>
      <c r="D40" s="325">
        <v>1400</v>
      </c>
      <c r="E40" s="269" t="s">
        <v>283</v>
      </c>
    </row>
    <row r="41" spans="3:6" x14ac:dyDescent="0.25">
      <c r="C41" s="270" t="s">
        <v>284</v>
      </c>
      <c r="D41" s="326">
        <v>6</v>
      </c>
      <c r="E41" s="270" t="s">
        <v>292</v>
      </c>
    </row>
    <row r="42" spans="3:6" x14ac:dyDescent="0.25">
      <c r="C42" s="270" t="s">
        <v>284</v>
      </c>
      <c r="D42" s="272">
        <f>D41/12</f>
        <v>0.5</v>
      </c>
      <c r="E42" s="270" t="s">
        <v>285</v>
      </c>
    </row>
    <row r="43" spans="3:6" x14ac:dyDescent="0.25">
      <c r="C43" s="269" t="s">
        <v>286</v>
      </c>
      <c r="D43" s="271">
        <f>D40/(PI()*(D42^2/4))/60</f>
        <v>118.83569084194852</v>
      </c>
      <c r="E43" s="269" t="s">
        <v>287</v>
      </c>
    </row>
    <row r="44" spans="3:6" x14ac:dyDescent="0.25">
      <c r="C44" s="270" t="s">
        <v>288</v>
      </c>
      <c r="D44" s="272">
        <f>D45*0.3048</f>
        <v>4.5720000000000001</v>
      </c>
      <c r="E44" s="270" t="s">
        <v>294</v>
      </c>
    </row>
    <row r="45" spans="3:6" x14ac:dyDescent="0.25">
      <c r="C45" s="270" t="s">
        <v>288</v>
      </c>
      <c r="D45" s="327">
        <v>15</v>
      </c>
      <c r="E45" s="270" t="s">
        <v>285</v>
      </c>
    </row>
    <row r="46" spans="3:6" x14ac:dyDescent="0.25">
      <c r="C46" s="270" t="s">
        <v>289</v>
      </c>
      <c r="D46" s="272">
        <f>(D47-32)*(5/9)+273.15</f>
        <v>789.26111111111106</v>
      </c>
      <c r="E46" s="270" t="s">
        <v>291</v>
      </c>
    </row>
    <row r="47" spans="3:6" x14ac:dyDescent="0.25">
      <c r="C47" s="270" t="s">
        <v>289</v>
      </c>
      <c r="D47" s="327">
        <v>961</v>
      </c>
      <c r="E47" s="270" t="s">
        <v>204</v>
      </c>
    </row>
    <row r="54" spans="7:7" x14ac:dyDescent="0.25">
      <c r="G54" s="273"/>
    </row>
  </sheetData>
  <mergeCells count="6">
    <mergeCell ref="C1:E1"/>
    <mergeCell ref="C8:E8"/>
    <mergeCell ref="C39:E39"/>
    <mergeCell ref="C17:E17"/>
    <mergeCell ref="C26:F26"/>
    <mergeCell ref="D28:E28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N40"/>
  <sheetViews>
    <sheetView zoomScale="80" zoomScaleNormal="80" zoomScaleSheetLayoutView="90" workbookViewId="0">
      <selection activeCell="A16" sqref="A16"/>
    </sheetView>
  </sheetViews>
  <sheetFormatPr defaultColWidth="9.140625" defaultRowHeight="13.5" x14ac:dyDescent="0.25"/>
  <cols>
    <col min="1" max="1" width="56.5703125" style="136" customWidth="1"/>
    <col min="2" max="2" width="16.140625" style="136" customWidth="1"/>
    <col min="3" max="3" width="12.42578125" style="136" customWidth="1"/>
    <col min="4" max="4" width="20.85546875" style="136" customWidth="1"/>
    <col min="5" max="8" width="16.28515625" style="136" customWidth="1"/>
    <col min="9" max="9" width="15.28515625" style="136" bestFit="1" customWidth="1"/>
    <col min="10" max="10" width="9.140625" style="136"/>
    <col min="11" max="11" width="12" style="136" customWidth="1"/>
    <col min="12" max="13" width="9.140625" style="136"/>
    <col min="14" max="14" width="17" style="136" customWidth="1"/>
    <col min="15" max="16" width="9.140625" style="136"/>
    <col min="17" max="17" width="14.42578125" style="136" customWidth="1"/>
    <col min="18" max="18" width="11.42578125" style="136" customWidth="1"/>
    <col min="19" max="16384" width="9.140625" style="136"/>
  </cols>
  <sheetData>
    <row r="1" spans="1:38" ht="15.75" thickBot="1" x14ac:dyDescent="0.35">
      <c r="A1" s="135" t="s">
        <v>419</v>
      </c>
    </row>
    <row r="2" spans="1:38" ht="15.75" thickBot="1" x14ac:dyDescent="0.35">
      <c r="A2" s="135" t="s">
        <v>460</v>
      </c>
      <c r="B2" s="254"/>
      <c r="C2" s="137"/>
      <c r="D2" s="137"/>
      <c r="E2" s="137"/>
      <c r="F2" s="137"/>
      <c r="G2" s="137"/>
      <c r="H2" s="137"/>
      <c r="I2" s="611" t="s">
        <v>422</v>
      </c>
      <c r="J2" s="612"/>
      <c r="K2" s="613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</row>
    <row r="3" spans="1:38" ht="29.25" thickBot="1" x14ac:dyDescent="0.35">
      <c r="A3" s="615" t="s">
        <v>165</v>
      </c>
      <c r="B3" s="616"/>
      <c r="C3" s="153"/>
      <c r="D3" s="617" t="s">
        <v>2</v>
      </c>
      <c r="E3" s="619" t="s">
        <v>443</v>
      </c>
      <c r="F3" s="619"/>
      <c r="G3" s="619" t="s">
        <v>443</v>
      </c>
      <c r="H3" s="621"/>
      <c r="I3" s="451" t="s">
        <v>423</v>
      </c>
      <c r="J3" s="609" t="s">
        <v>443</v>
      </c>
      <c r="K3" s="610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</row>
    <row r="4" spans="1:38" ht="16.5" thickBot="1" x14ac:dyDescent="0.3">
      <c r="A4" s="139" t="s">
        <v>144</v>
      </c>
      <c r="B4" s="140">
        <v>1</v>
      </c>
      <c r="C4" s="153"/>
      <c r="D4" s="618"/>
      <c r="E4" s="150" t="s">
        <v>160</v>
      </c>
      <c r="F4" s="150" t="s">
        <v>269</v>
      </c>
      <c r="G4" s="150" t="s">
        <v>296</v>
      </c>
      <c r="H4" s="410" t="s">
        <v>295</v>
      </c>
      <c r="I4" s="452" t="s">
        <v>215</v>
      </c>
      <c r="J4" s="453" t="s">
        <v>160</v>
      </c>
      <c r="K4" s="410" t="s">
        <v>424</v>
      </c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</row>
    <row r="5" spans="1:38" x14ac:dyDescent="0.25">
      <c r="A5" s="141" t="s">
        <v>145</v>
      </c>
      <c r="B5" s="142">
        <f>'HARRISON T218 REV D 10042016'!C104</f>
        <v>23482.187209641314</v>
      </c>
      <c r="C5" s="154"/>
      <c r="D5" s="139" t="s">
        <v>161</v>
      </c>
      <c r="E5" s="251">
        <f>'HARRISON T218 REV D 10042016'!C89</f>
        <v>11.4</v>
      </c>
      <c r="F5" s="155">
        <f t="shared" ref="F5:F14" si="0">E5*$B$9/2000</f>
        <v>49.932000000000002</v>
      </c>
      <c r="G5" s="485">
        <f>E5*453.592*1000/60</f>
        <v>86182.48</v>
      </c>
      <c r="H5" s="155">
        <f>G5/('Stack Parameters'!$D$2*(0.3048^3))</f>
        <v>1.75553098928938</v>
      </c>
      <c r="I5" s="454">
        <v>0.3</v>
      </c>
      <c r="J5" s="155">
        <f>E5/(1-$I5)</f>
        <v>16.285714285714288</v>
      </c>
      <c r="K5" s="455">
        <f t="shared" ref="K5:K16" si="1">F5/(1-$I5)</f>
        <v>71.331428571428575</v>
      </c>
      <c r="L5" s="137"/>
      <c r="M5" s="461"/>
      <c r="N5" s="539"/>
      <c r="O5" s="540"/>
      <c r="P5" s="461"/>
      <c r="Q5" s="541"/>
      <c r="R5" s="463"/>
      <c r="S5" s="461"/>
      <c r="T5" s="461"/>
      <c r="U5" s="461"/>
      <c r="V5" s="461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</row>
    <row r="6" spans="1:38" ht="15" x14ac:dyDescent="0.25">
      <c r="A6" s="141" t="s">
        <v>146</v>
      </c>
      <c r="B6" s="142">
        <f>'HARRISON T218 REV D 10042016'!C105</f>
        <v>21185.2218960102</v>
      </c>
      <c r="C6" s="153"/>
      <c r="D6" s="141" t="s">
        <v>162</v>
      </c>
      <c r="E6" s="252">
        <f>'HARRISON T218 REV D 10042016'!C87</f>
        <v>32.9</v>
      </c>
      <c r="F6" s="156">
        <f t="shared" si="0"/>
        <v>144.102</v>
      </c>
      <c r="G6" s="253">
        <f t="shared" ref="G6:G16" si="2">E6*453.592*1000/60</f>
        <v>248719.61333333331</v>
      </c>
      <c r="H6" s="156">
        <f>G6/('Stack Parameters'!$D$2*(0.3048^3))</f>
        <v>5.0664008375105789</v>
      </c>
      <c r="I6" s="456">
        <v>0.9</v>
      </c>
      <c r="J6" s="252">
        <f t="shared" ref="J6:J16" si="3">E6/(1-$I6)</f>
        <v>329.00000000000006</v>
      </c>
      <c r="K6" s="464">
        <f t="shared" si="1"/>
        <v>1441.0200000000004</v>
      </c>
      <c r="L6" s="137"/>
      <c r="M6" s="462"/>
      <c r="N6" s="539"/>
      <c r="O6" s="215"/>
      <c r="P6" s="461"/>
      <c r="Q6" s="541"/>
      <c r="R6" s="463"/>
      <c r="S6" s="461"/>
      <c r="T6" s="461"/>
      <c r="U6" s="461"/>
      <c r="V6" s="461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</row>
    <row r="7" spans="1:38" x14ac:dyDescent="0.25">
      <c r="A7" s="141" t="s">
        <v>147</v>
      </c>
      <c r="B7" s="143">
        <f>B5/B6</f>
        <v>1.1084229999999999</v>
      </c>
      <c r="C7" s="153"/>
      <c r="D7" s="141" t="s">
        <v>3</v>
      </c>
      <c r="E7" s="252">
        <f>'HARRISON T218 REV D 10042016'!C88</f>
        <v>20</v>
      </c>
      <c r="F7" s="156">
        <f t="shared" si="0"/>
        <v>87.6</v>
      </c>
      <c r="G7" s="253">
        <f t="shared" si="2"/>
        <v>151197.33333333334</v>
      </c>
      <c r="H7" s="156">
        <f>G7/('Stack Parameters'!$D$2*(0.3048^3))</f>
        <v>3.0798789285778603</v>
      </c>
      <c r="I7" s="456">
        <v>0.8</v>
      </c>
      <c r="J7" s="252">
        <f t="shared" si="3"/>
        <v>100.00000000000003</v>
      </c>
      <c r="K7" s="457">
        <f t="shared" si="1"/>
        <v>438.00000000000006</v>
      </c>
      <c r="L7" s="137"/>
      <c r="M7" s="462"/>
      <c r="N7" s="539"/>
      <c r="O7" s="215"/>
      <c r="P7" s="461"/>
      <c r="Q7" s="541"/>
      <c r="R7" s="463"/>
      <c r="S7" s="461"/>
      <c r="T7" s="461"/>
      <c r="U7" s="461"/>
      <c r="V7" s="461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</row>
    <row r="8" spans="1:38" ht="15" x14ac:dyDescent="0.25">
      <c r="A8" s="141" t="s">
        <v>148</v>
      </c>
      <c r="B8" s="144">
        <v>1</v>
      </c>
      <c r="C8" s="153"/>
      <c r="D8" s="141" t="s">
        <v>163</v>
      </c>
      <c r="E8" s="252">
        <f>'HARRISON T218 REV D 10042016'!C90</f>
        <v>5.952</v>
      </c>
      <c r="F8" s="156">
        <f t="shared" si="0"/>
        <v>26.069759999999999</v>
      </c>
      <c r="G8" s="253">
        <f t="shared" si="2"/>
        <v>44996.326399999998</v>
      </c>
      <c r="H8" s="156">
        <f>G8/('Stack Parameters'!$D$2*(0.3048^3))</f>
        <v>0.91657196914477113</v>
      </c>
      <c r="I8" s="456">
        <v>0</v>
      </c>
      <c r="J8" s="252">
        <f t="shared" ref="J8:K10" si="4">E8/(1-$I8)</f>
        <v>5.952</v>
      </c>
      <c r="K8" s="457">
        <f t="shared" si="4"/>
        <v>26.069759999999999</v>
      </c>
      <c r="L8" s="137"/>
      <c r="M8" s="463"/>
      <c r="N8" s="539"/>
      <c r="O8" s="215"/>
      <c r="P8" s="461"/>
      <c r="Q8" s="541"/>
      <c r="R8" s="463"/>
      <c r="S8" s="461"/>
      <c r="T8" s="461"/>
      <c r="U8" s="461"/>
      <c r="V8" s="461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</row>
    <row r="9" spans="1:38" ht="15" x14ac:dyDescent="0.25">
      <c r="A9" s="141" t="s">
        <v>149</v>
      </c>
      <c r="B9" s="142">
        <f>8760*B8</f>
        <v>8760</v>
      </c>
      <c r="C9" s="153"/>
      <c r="D9" s="141" t="s">
        <v>164</v>
      </c>
      <c r="E9" s="252">
        <f>'HARRISON T218 REV D 10042016'!C91</f>
        <v>22.6</v>
      </c>
      <c r="F9" s="156">
        <f t="shared" si="0"/>
        <v>98.988</v>
      </c>
      <c r="G9" s="253">
        <f t="shared" si="2"/>
        <v>170852.98666666669</v>
      </c>
      <c r="H9" s="156">
        <f>G9/('Stack Parameters'!$D$2*(0.3048^3))</f>
        <v>3.4802631892929825</v>
      </c>
      <c r="I9" s="456">
        <v>0</v>
      </c>
      <c r="J9" s="252">
        <f t="shared" si="4"/>
        <v>22.6</v>
      </c>
      <c r="K9" s="457">
        <f t="shared" si="4"/>
        <v>98.988</v>
      </c>
      <c r="L9" s="137"/>
      <c r="M9" s="462"/>
      <c r="N9" s="539"/>
      <c r="O9" s="215"/>
      <c r="P9" s="461"/>
      <c r="Q9" s="541"/>
      <c r="R9" s="463"/>
      <c r="S9" s="461"/>
      <c r="T9" s="461"/>
      <c r="U9" s="461"/>
      <c r="V9" s="461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</row>
    <row r="10" spans="1:38" ht="15.75" x14ac:dyDescent="0.25">
      <c r="A10" s="147" t="s">
        <v>487</v>
      </c>
      <c r="B10" s="148">
        <f>'HARRISON T218 REV D 10042016'!C82</f>
        <v>3496.2000000000003</v>
      </c>
      <c r="C10" s="153"/>
      <c r="D10" s="157" t="s">
        <v>270</v>
      </c>
      <c r="E10" s="158">
        <f>$B$16/1020*$B$12</f>
        <v>2.2046568627450982E-3</v>
      </c>
      <c r="F10" s="414">
        <f t="shared" si="0"/>
        <v>9.65639705882353E-3</v>
      </c>
      <c r="G10" s="415">
        <f t="shared" si="2"/>
        <v>16.666911928104572</v>
      </c>
      <c r="H10" s="537">
        <f>G10/('Stack Parameters'!$D$2*(0.3048^3))</f>
        <v>3.3950381081565984E-4</v>
      </c>
      <c r="I10" s="456">
        <v>0</v>
      </c>
      <c r="J10" s="252">
        <f t="shared" si="4"/>
        <v>2.2046568627450982E-3</v>
      </c>
      <c r="K10" s="457">
        <f t="shared" si="4"/>
        <v>9.65639705882353E-3</v>
      </c>
      <c r="L10" s="137"/>
      <c r="M10" s="461"/>
      <c r="N10" s="215"/>
      <c r="O10" s="215"/>
      <c r="P10" s="461"/>
      <c r="Q10" s="542"/>
      <c r="R10" s="543"/>
      <c r="S10" s="461"/>
      <c r="T10" s="461"/>
      <c r="U10" s="461"/>
      <c r="V10" s="461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</row>
    <row r="11" spans="1:38" ht="15.75" x14ac:dyDescent="0.25">
      <c r="A11" s="147" t="s">
        <v>488</v>
      </c>
      <c r="B11" s="148">
        <f>'HARRISON T218 REV D 10042016'!C83</f>
        <v>1001.3000000000001</v>
      </c>
      <c r="C11" s="153"/>
      <c r="D11" s="141" t="s">
        <v>271</v>
      </c>
      <c r="E11" s="252">
        <f>'HARRISON T218 REV D 10042016'!C92</f>
        <v>3.8240000000000003</v>
      </c>
      <c r="F11" s="156">
        <f t="shared" si="0"/>
        <v>16.749120000000001</v>
      </c>
      <c r="G11" s="253">
        <f t="shared" si="2"/>
        <v>28908.930133333335</v>
      </c>
      <c r="H11" s="538">
        <f>G11/('Stack Parameters'!$D$2*(0.3048^3))</f>
        <v>0.58887285114408683</v>
      </c>
      <c r="I11" s="456">
        <v>0</v>
      </c>
      <c r="J11" s="252">
        <f t="shared" si="3"/>
        <v>3.8240000000000003</v>
      </c>
      <c r="K11" s="457">
        <f t="shared" si="1"/>
        <v>16.749120000000001</v>
      </c>
      <c r="L11" s="137"/>
      <c r="M11" s="137"/>
      <c r="N11" s="539"/>
      <c r="O11" s="215"/>
      <c r="P11" s="461"/>
      <c r="Q11" s="541"/>
      <c r="R11" s="544"/>
      <c r="S11" s="461"/>
      <c r="T11" s="461"/>
      <c r="U11" s="461"/>
      <c r="V11" s="461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</row>
    <row r="12" spans="1:38" ht="15.75" x14ac:dyDescent="0.25">
      <c r="A12" s="147" t="s">
        <v>490</v>
      </c>
      <c r="B12" s="568">
        <f>B10+B11</f>
        <v>4497.5</v>
      </c>
      <c r="C12" s="153"/>
      <c r="D12" s="141" t="s">
        <v>272</v>
      </c>
      <c r="E12" s="253">
        <f>'HARRISON T218 REV D 10042016'!C93</f>
        <v>528000</v>
      </c>
      <c r="F12" s="138">
        <f t="shared" si="0"/>
        <v>2312640</v>
      </c>
      <c r="G12" s="253">
        <f t="shared" si="2"/>
        <v>3991609600</v>
      </c>
      <c r="H12" s="138">
        <f>G12/('Stack Parameters'!$D$2*(0.3048^3))</f>
        <v>81308.803714455498</v>
      </c>
      <c r="I12" s="456">
        <v>0</v>
      </c>
      <c r="J12" s="138">
        <f t="shared" si="3"/>
        <v>528000</v>
      </c>
      <c r="K12" s="142">
        <f>F12/(1-$I12)</f>
        <v>2312640</v>
      </c>
      <c r="L12" s="137"/>
      <c r="M12" s="137"/>
      <c r="N12" s="539"/>
      <c r="O12" s="539"/>
      <c r="P12" s="461"/>
      <c r="Q12" s="541"/>
      <c r="R12" s="545"/>
      <c r="S12" s="461"/>
      <c r="T12" s="461"/>
      <c r="U12" s="461"/>
      <c r="V12" s="461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</row>
    <row r="13" spans="1:38" ht="19.5" customHeight="1" x14ac:dyDescent="0.25">
      <c r="A13" s="147" t="s">
        <v>489</v>
      </c>
      <c r="B13" s="494">
        <f>B12*B9</f>
        <v>39398100</v>
      </c>
      <c r="C13" s="153"/>
      <c r="D13" s="141" t="s">
        <v>273</v>
      </c>
      <c r="E13" s="466">
        <f>'HARRISON T218 REV D 10042016'!C94</f>
        <v>9.9152784500000006</v>
      </c>
      <c r="F13" s="156">
        <f t="shared" si="0"/>
        <v>43.428919611000005</v>
      </c>
      <c r="G13" s="253">
        <f t="shared" si="2"/>
        <v>74958.183044873338</v>
      </c>
      <c r="H13" s="429">
        <f>G13/('Stack Parameters'!$D$2*(0.3048^3))</f>
        <v>1.5268928584568573</v>
      </c>
      <c r="I13" s="456">
        <v>0</v>
      </c>
      <c r="J13" s="252">
        <f t="shared" si="3"/>
        <v>9.9152784500000006</v>
      </c>
      <c r="K13" s="457">
        <f t="shared" si="1"/>
        <v>43.428919611000005</v>
      </c>
      <c r="N13" s="539"/>
      <c r="O13" s="215"/>
      <c r="P13" s="546"/>
      <c r="Q13" s="541"/>
      <c r="R13" s="547"/>
      <c r="S13" s="546"/>
      <c r="T13" s="461"/>
      <c r="U13" s="546"/>
      <c r="V13" s="546"/>
    </row>
    <row r="14" spans="1:38" ht="19.5" customHeight="1" x14ac:dyDescent="0.25">
      <c r="A14" s="147" t="s">
        <v>445</v>
      </c>
      <c r="B14" s="148">
        <f>B12/1030*1000000</f>
        <v>4366504.8543689316</v>
      </c>
      <c r="C14" s="153"/>
      <c r="D14" s="141" t="s">
        <v>274</v>
      </c>
      <c r="E14" s="466">
        <f>'HARRISON T218 REV D 10042016'!C95</f>
        <v>0.99152784499999991</v>
      </c>
      <c r="F14" s="156">
        <f t="shared" si="0"/>
        <v>4.3428919610999994</v>
      </c>
      <c r="G14" s="253">
        <f t="shared" si="2"/>
        <v>7495.8183044873322</v>
      </c>
      <c r="H14" s="538">
        <f>G14/('Stack Parameters'!$D$2*(0.3048^3))</f>
        <v>0.1526892858456857</v>
      </c>
      <c r="I14" s="456">
        <v>0</v>
      </c>
      <c r="J14" s="252">
        <f t="shared" si="3"/>
        <v>0.99152784499999991</v>
      </c>
      <c r="K14" s="457">
        <f t="shared" si="1"/>
        <v>4.3428919610999994</v>
      </c>
      <c r="N14" s="539"/>
      <c r="O14" s="215"/>
      <c r="P14" s="546"/>
      <c r="Q14" s="541"/>
      <c r="R14" s="544"/>
      <c r="S14" s="546"/>
      <c r="T14" s="461"/>
      <c r="U14" s="546"/>
      <c r="V14" s="546"/>
    </row>
    <row r="15" spans="1:38" ht="19.5" customHeight="1" x14ac:dyDescent="0.25">
      <c r="A15" s="147" t="s">
        <v>446</v>
      </c>
      <c r="B15" s="148">
        <f>B14*B9/1000000</f>
        <v>38250.582524271842</v>
      </c>
      <c r="C15" s="159"/>
      <c r="D15" s="141" t="s">
        <v>275</v>
      </c>
      <c r="E15" s="138">
        <f>SUM(E12:E14)</f>
        <v>528010.90680629504</v>
      </c>
      <c r="F15" s="138">
        <f>SUM(F12:F14)</f>
        <v>2312687.7718115719</v>
      </c>
      <c r="G15" s="138">
        <f t="shared" si="2"/>
        <v>3991692054.0013499</v>
      </c>
      <c r="H15" s="138">
        <f>G15/('Stack Parameters'!$D$2*(0.3048^3))</f>
        <v>81310.483296599821</v>
      </c>
      <c r="I15" s="458">
        <v>0</v>
      </c>
      <c r="J15" s="138">
        <f t="shared" si="3"/>
        <v>528010.90680629504</v>
      </c>
      <c r="K15" s="142">
        <f t="shared" si="1"/>
        <v>2312687.7718115719</v>
      </c>
      <c r="N15" s="539"/>
      <c r="O15" s="539"/>
      <c r="P15" s="546"/>
      <c r="Q15" s="545"/>
      <c r="R15" s="545"/>
      <c r="S15" s="546"/>
      <c r="T15" s="461"/>
      <c r="U15" s="546"/>
      <c r="V15" s="546"/>
    </row>
    <row r="16" spans="1:38" ht="19.5" customHeight="1" thickBot="1" x14ac:dyDescent="0.3">
      <c r="A16" s="147" t="s">
        <v>166</v>
      </c>
      <c r="B16" s="145">
        <v>5.0000000000000001E-4</v>
      </c>
      <c r="C16" s="159"/>
      <c r="D16" s="149" t="s">
        <v>276</v>
      </c>
      <c r="E16" s="160">
        <f>SUM(E12*B17,E13*B18,E14*B19)</f>
        <v>528543.35725906002</v>
      </c>
      <c r="F16" s="160">
        <f>SUM(F12*B17,F13*B18,F14*B19)</f>
        <v>2315019.9047946827</v>
      </c>
      <c r="G16" s="160">
        <f t="shared" si="2"/>
        <v>3995717308.4308591</v>
      </c>
      <c r="H16" s="160">
        <f>G16/('Stack Parameters'!$D$2*(0.3048^3))</f>
        <v>81392.477443098935</v>
      </c>
      <c r="I16" s="459">
        <v>0</v>
      </c>
      <c r="J16" s="160">
        <f t="shared" si="3"/>
        <v>528543.35725906002</v>
      </c>
      <c r="K16" s="460">
        <f t="shared" si="1"/>
        <v>2315019.9047946827</v>
      </c>
      <c r="N16" s="539"/>
      <c r="O16" s="539"/>
      <c r="P16" s="546"/>
      <c r="Q16" s="545"/>
      <c r="R16" s="545"/>
      <c r="S16" s="546"/>
      <c r="T16" s="461"/>
      <c r="U16" s="546"/>
      <c r="V16" s="546"/>
    </row>
    <row r="17" spans="1:40" ht="19.5" customHeight="1" x14ac:dyDescent="0.25">
      <c r="A17" s="141" t="s">
        <v>157</v>
      </c>
      <c r="B17" s="146">
        <v>1</v>
      </c>
      <c r="C17" s="159"/>
      <c r="D17" s="151" t="s">
        <v>268</v>
      </c>
      <c r="N17" s="546"/>
      <c r="O17" s="546"/>
      <c r="P17" s="546"/>
      <c r="Q17" s="546"/>
      <c r="R17" s="546"/>
      <c r="S17" s="546"/>
      <c r="T17" s="546"/>
      <c r="U17" s="546"/>
      <c r="V17" s="546"/>
    </row>
    <row r="18" spans="1:40" ht="19.5" customHeight="1" x14ac:dyDescent="0.25">
      <c r="A18" s="141" t="s">
        <v>158</v>
      </c>
      <c r="B18" s="146">
        <v>25</v>
      </c>
      <c r="C18" s="159"/>
      <c r="D18" s="151" t="s">
        <v>167</v>
      </c>
      <c r="E18" s="161"/>
      <c r="F18" s="161"/>
      <c r="G18" s="161"/>
      <c r="H18" s="161"/>
      <c r="N18" s="546"/>
      <c r="O18" s="546"/>
      <c r="P18" s="546"/>
      <c r="Q18" s="546"/>
      <c r="R18" s="546"/>
      <c r="S18" s="546"/>
      <c r="T18" s="546"/>
      <c r="U18" s="546"/>
      <c r="V18" s="546"/>
    </row>
    <row r="19" spans="1:40" ht="19.5" customHeight="1" thickBot="1" x14ac:dyDescent="0.3">
      <c r="A19" s="302" t="s">
        <v>159</v>
      </c>
      <c r="B19" s="303">
        <v>298</v>
      </c>
      <c r="C19" s="159"/>
      <c r="D19" s="255" t="s">
        <v>267</v>
      </c>
      <c r="E19" s="255"/>
      <c r="F19" s="255"/>
      <c r="G19" s="255"/>
      <c r="H19" s="255"/>
    </row>
    <row r="20" spans="1:40" ht="16.5" customHeight="1" x14ac:dyDescent="0.25">
      <c r="A20" s="622" t="s">
        <v>318</v>
      </c>
      <c r="B20" s="623"/>
      <c r="D20" s="620" t="s">
        <v>168</v>
      </c>
      <c r="E20" s="620"/>
      <c r="F20" s="620"/>
      <c r="G20" s="620"/>
      <c r="H20" s="620"/>
    </row>
    <row r="21" spans="1:40" ht="21.75" customHeight="1" thickBot="1" x14ac:dyDescent="0.3">
      <c r="A21" s="304"/>
      <c r="B21" s="310" t="s">
        <v>316</v>
      </c>
      <c r="D21" s="162" t="s">
        <v>169</v>
      </c>
      <c r="E21" s="162"/>
      <c r="F21" s="162"/>
      <c r="G21" s="162"/>
      <c r="H21" s="162"/>
    </row>
    <row r="22" spans="1:40" ht="16.5" customHeight="1" x14ac:dyDescent="0.25">
      <c r="A22" s="305" t="s">
        <v>150</v>
      </c>
      <c r="B22" s="443">
        <v>2.2046199999999998</v>
      </c>
      <c r="D22" s="614" t="s">
        <v>170</v>
      </c>
      <c r="E22" s="614"/>
      <c r="F22" s="614"/>
      <c r="G22" s="614"/>
      <c r="H22" s="614"/>
      <c r="I22" s="137"/>
      <c r="J22" s="137"/>
      <c r="K22" s="137"/>
    </row>
    <row r="23" spans="1:40" ht="18.75" customHeight="1" x14ac:dyDescent="0.25">
      <c r="A23" s="306" t="s">
        <v>151</v>
      </c>
      <c r="B23" s="499">
        <v>53.06</v>
      </c>
      <c r="C23" s="501"/>
      <c r="D23" s="614"/>
      <c r="E23" s="614"/>
      <c r="F23" s="614"/>
      <c r="G23" s="614"/>
      <c r="H23" s="614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</row>
    <row r="24" spans="1:40" ht="18.75" customHeight="1" x14ac:dyDescent="0.25">
      <c r="A24" s="306" t="s">
        <v>152</v>
      </c>
      <c r="B24" s="499">
        <f>B23*B22</f>
        <v>116.9771372</v>
      </c>
      <c r="C24" s="502"/>
      <c r="D24" s="614"/>
      <c r="E24" s="614"/>
      <c r="F24" s="614"/>
      <c r="G24" s="614"/>
      <c r="H24" s="614"/>
      <c r="I24" s="132"/>
      <c r="J24" s="132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</row>
    <row r="25" spans="1:40" ht="18.75" customHeight="1" x14ac:dyDescent="0.25">
      <c r="A25" s="306" t="s">
        <v>153</v>
      </c>
      <c r="B25" s="500">
        <v>1E-3</v>
      </c>
      <c r="C25" s="503"/>
      <c r="D25" s="162" t="s">
        <v>171</v>
      </c>
      <c r="E25" s="301"/>
      <c r="F25" s="301"/>
      <c r="G25" s="301"/>
      <c r="H25" s="301"/>
      <c r="I25" s="132"/>
      <c r="J25" s="132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</row>
    <row r="26" spans="1:40" ht="18.75" customHeight="1" x14ac:dyDescent="0.25">
      <c r="A26" s="306" t="s">
        <v>154</v>
      </c>
      <c r="B26" s="500">
        <f>B25*B22</f>
        <v>2.20462E-3</v>
      </c>
      <c r="C26" s="504"/>
      <c r="D26" s="162"/>
      <c r="E26" s="301"/>
      <c r="F26" s="301"/>
      <c r="G26" s="301"/>
      <c r="H26" s="301"/>
      <c r="I26" s="132"/>
      <c r="J26" s="132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</row>
    <row r="27" spans="1:40" ht="18.75" customHeight="1" x14ac:dyDescent="0.25">
      <c r="A27" s="306" t="s">
        <v>155</v>
      </c>
      <c r="B27" s="308">
        <v>1E-4</v>
      </c>
      <c r="C27" s="504"/>
      <c r="D27" s="301"/>
      <c r="E27" s="301"/>
      <c r="F27" s="301"/>
      <c r="G27" s="301"/>
      <c r="H27" s="301"/>
      <c r="I27" s="132"/>
      <c r="J27" s="132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</row>
    <row r="28" spans="1:40" ht="18.75" customHeight="1" thickBot="1" x14ac:dyDescent="0.3">
      <c r="A28" s="304" t="s">
        <v>156</v>
      </c>
      <c r="B28" s="309">
        <f>B27*B22</f>
        <v>2.2046199999999999E-4</v>
      </c>
      <c r="C28" s="505"/>
      <c r="D28" s="301"/>
      <c r="E28" s="301"/>
      <c r="F28" s="301"/>
      <c r="G28" s="301"/>
      <c r="H28" s="301"/>
      <c r="I28" s="132"/>
      <c r="J28" s="132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</row>
    <row r="29" spans="1:40" ht="18.75" customHeight="1" x14ac:dyDescent="0.25"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</row>
    <row r="30" spans="1:40" ht="15.75" customHeight="1" x14ac:dyDescent="0.25"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</row>
    <row r="31" spans="1:40" ht="19.5" customHeight="1" x14ac:dyDescent="0.25"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</row>
    <row r="32" spans="1:40" x14ac:dyDescent="0.25">
      <c r="C32" s="431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</row>
    <row r="33" spans="3:39" ht="13.5" customHeight="1" x14ac:dyDescent="0.25">
      <c r="C33" s="431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</row>
    <row r="34" spans="3:39" ht="13.5" customHeight="1" x14ac:dyDescent="0.25">
      <c r="C34" s="137"/>
    </row>
    <row r="35" spans="3:39" x14ac:dyDescent="0.25">
      <c r="C35" s="137"/>
    </row>
    <row r="36" spans="3:39" x14ac:dyDescent="0.25">
      <c r="C36" s="137"/>
    </row>
    <row r="40" spans="3:39" ht="75" customHeight="1" x14ac:dyDescent="0.25"/>
  </sheetData>
  <mergeCells count="9">
    <mergeCell ref="J3:K3"/>
    <mergeCell ref="I2:K2"/>
    <mergeCell ref="D22:H24"/>
    <mergeCell ref="A3:B3"/>
    <mergeCell ref="D3:D4"/>
    <mergeCell ref="E3:F3"/>
    <mergeCell ref="D20:H20"/>
    <mergeCell ref="G3:H3"/>
    <mergeCell ref="A20:B20"/>
  </mergeCells>
  <pageMargins left="0.25" right="0.25" top="0.75" bottom="0.75" header="0.3" footer="0.3"/>
  <pageSetup scale="7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3"/>
  <sheetViews>
    <sheetView zoomScale="85" zoomScaleNormal="85" zoomScaleSheetLayoutView="85" workbookViewId="0">
      <selection activeCell="A31" sqref="A31:I32"/>
    </sheetView>
  </sheetViews>
  <sheetFormatPr defaultColWidth="8.85546875" defaultRowHeight="13.5" x14ac:dyDescent="0.25"/>
  <cols>
    <col min="1" max="1" width="16" style="2" customWidth="1"/>
    <col min="2" max="2" width="16.140625" style="2" customWidth="1"/>
    <col min="3" max="5" width="16.140625" style="5" customWidth="1"/>
    <col min="6" max="6" width="16.140625" style="7" customWidth="1"/>
    <col min="7" max="7" width="12.7109375" style="7" customWidth="1"/>
    <col min="8" max="8" width="14.28515625" style="14" customWidth="1"/>
    <col min="9" max="9" width="13.85546875" style="2" customWidth="1"/>
    <col min="10" max="11" width="8.85546875" style="2" customWidth="1"/>
    <col min="12" max="12" width="9.85546875" style="2" bestFit="1" customWidth="1"/>
    <col min="13" max="14" width="8.85546875" style="2" customWidth="1"/>
    <col min="15" max="15" width="10.5703125" style="2" bestFit="1" customWidth="1"/>
    <col min="16" max="16384" width="8.85546875" style="2"/>
  </cols>
  <sheetData>
    <row r="1" spans="1:10" ht="15" x14ac:dyDescent="0.3">
      <c r="A1" s="1" t="s">
        <v>419</v>
      </c>
    </row>
    <row r="2" spans="1:10" ht="15" x14ac:dyDescent="0.3">
      <c r="A2" s="1" t="s">
        <v>89</v>
      </c>
    </row>
    <row r="3" spans="1:10" ht="14.25" thickBot="1" x14ac:dyDescent="0.3"/>
    <row r="4" spans="1:10" s="4" customFormat="1" ht="45" customHeight="1" x14ac:dyDescent="0.3">
      <c r="A4" s="12" t="s">
        <v>32</v>
      </c>
      <c r="B4" s="12" t="s">
        <v>2</v>
      </c>
      <c r="C4" s="12" t="s">
        <v>277</v>
      </c>
      <c r="D4" s="12" t="s">
        <v>278</v>
      </c>
      <c r="E4" s="12" t="s">
        <v>279</v>
      </c>
      <c r="F4" s="15" t="s">
        <v>86</v>
      </c>
      <c r="G4" s="15" t="s">
        <v>33</v>
      </c>
      <c r="H4" s="16" t="s">
        <v>107</v>
      </c>
      <c r="I4" s="2"/>
      <c r="J4" s="2"/>
    </row>
    <row r="5" spans="1:10" x14ac:dyDescent="0.25">
      <c r="A5" s="11"/>
      <c r="B5" s="89" t="s">
        <v>0</v>
      </c>
      <c r="C5" s="89"/>
      <c r="D5" s="89"/>
      <c r="E5" s="89"/>
      <c r="F5" s="89"/>
      <c r="G5" s="89"/>
      <c r="H5" s="89"/>
    </row>
    <row r="6" spans="1:10" x14ac:dyDescent="0.25">
      <c r="A6" s="624" t="s">
        <v>35</v>
      </c>
      <c r="B6" s="240" t="s">
        <v>38</v>
      </c>
      <c r="C6" s="241">
        <v>67</v>
      </c>
      <c r="D6" s="241">
        <v>20</v>
      </c>
      <c r="E6" s="486">
        <v>208</v>
      </c>
      <c r="F6" s="236">
        <f>(E6*D6)/60</f>
        <v>69.333333333333329</v>
      </c>
      <c r="G6" s="8">
        <f>C6*E6</f>
        <v>13936</v>
      </c>
      <c r="H6" s="549">
        <f>G6/2000</f>
        <v>6.968</v>
      </c>
    </row>
    <row r="7" spans="1:10" x14ac:dyDescent="0.25">
      <c r="A7" s="624"/>
      <c r="B7" s="242" t="s">
        <v>37</v>
      </c>
      <c r="C7" s="243">
        <v>130</v>
      </c>
      <c r="D7" s="243">
        <v>40</v>
      </c>
      <c r="E7" s="487">
        <v>40</v>
      </c>
      <c r="F7" s="237">
        <f>(E7*D7)/60</f>
        <v>26.666666666666668</v>
      </c>
      <c r="G7" s="17">
        <f>C7*E7</f>
        <v>5200</v>
      </c>
      <c r="H7" s="88">
        <f>G7/2000</f>
        <v>2.6</v>
      </c>
    </row>
    <row r="8" spans="1:10" x14ac:dyDescent="0.25">
      <c r="A8" s="624"/>
      <c r="B8" s="242" t="s">
        <v>36</v>
      </c>
      <c r="C8" s="243">
        <v>264</v>
      </c>
      <c r="D8" s="243">
        <v>55</v>
      </c>
      <c r="E8" s="487">
        <v>12</v>
      </c>
      <c r="F8" s="237">
        <f>(E8*D8)/60</f>
        <v>11</v>
      </c>
      <c r="G8" s="17">
        <f>C8*E8</f>
        <v>3168</v>
      </c>
      <c r="H8" s="88">
        <f>G8/2000</f>
        <v>1.5840000000000001</v>
      </c>
    </row>
    <row r="9" spans="1:10" ht="14.25" thickBot="1" x14ac:dyDescent="0.3">
      <c r="A9" s="11" t="s">
        <v>34</v>
      </c>
      <c r="B9" s="244"/>
      <c r="C9" s="245">
        <v>7</v>
      </c>
      <c r="D9" s="245">
        <v>12</v>
      </c>
      <c r="E9" s="488">
        <v>260</v>
      </c>
      <c r="F9" s="238">
        <f>(E9*D9)/60</f>
        <v>52</v>
      </c>
      <c r="G9" s="18">
        <f>C9*E9</f>
        <v>1820</v>
      </c>
      <c r="H9" s="550">
        <f>G9/2000</f>
        <v>0.91</v>
      </c>
    </row>
    <row r="10" spans="1:10" ht="14.25" thickTop="1" x14ac:dyDescent="0.25">
      <c r="A10" s="11"/>
      <c r="B10" s="627" t="s">
        <v>39</v>
      </c>
      <c r="C10" s="627"/>
      <c r="D10" s="627"/>
      <c r="E10" s="627"/>
      <c r="F10" s="597">
        <f>SUM(F6:F9)</f>
        <v>159</v>
      </c>
      <c r="G10" s="8">
        <f>SUM(G6:G9)</f>
        <v>24124</v>
      </c>
      <c r="H10" s="549">
        <f>SUM(H6:H9)</f>
        <v>12.061999999999999</v>
      </c>
    </row>
    <row r="11" spans="1:10" x14ac:dyDescent="0.25">
      <c r="A11" s="11"/>
      <c r="B11" s="246" t="s">
        <v>3</v>
      </c>
      <c r="C11" s="246"/>
      <c r="D11" s="246"/>
      <c r="E11" s="246"/>
      <c r="F11" s="246"/>
      <c r="G11" s="89"/>
      <c r="H11" s="551"/>
    </row>
    <row r="12" spans="1:10" x14ac:dyDescent="0.25">
      <c r="A12" s="624" t="s">
        <v>35</v>
      </c>
      <c r="B12" s="240" t="s">
        <v>38</v>
      </c>
      <c r="C12" s="241">
        <v>120</v>
      </c>
      <c r="D12" s="241">
        <v>20</v>
      </c>
      <c r="E12" s="486">
        <v>208</v>
      </c>
      <c r="F12" s="236">
        <f>(E12*D12)/60</f>
        <v>69.333333333333329</v>
      </c>
      <c r="G12" s="8">
        <f>C12*E12</f>
        <v>24960</v>
      </c>
      <c r="H12" s="549">
        <f>G12/2000</f>
        <v>12.48</v>
      </c>
    </row>
    <row r="13" spans="1:10" x14ac:dyDescent="0.25">
      <c r="A13" s="624"/>
      <c r="B13" s="242" t="s">
        <v>37</v>
      </c>
      <c r="C13" s="243">
        <v>155</v>
      </c>
      <c r="D13" s="243">
        <v>40</v>
      </c>
      <c r="E13" s="487">
        <v>40</v>
      </c>
      <c r="F13" s="237">
        <f>(E13*D13)/60</f>
        <v>26.666666666666668</v>
      </c>
      <c r="G13" s="17">
        <f>C13*E13</f>
        <v>6200</v>
      </c>
      <c r="H13" s="88">
        <f>G13/2000</f>
        <v>3.1</v>
      </c>
    </row>
    <row r="14" spans="1:10" x14ac:dyDescent="0.25">
      <c r="A14" s="624"/>
      <c r="B14" s="242" t="s">
        <v>36</v>
      </c>
      <c r="C14" s="243">
        <v>790</v>
      </c>
      <c r="D14" s="243">
        <v>55</v>
      </c>
      <c r="E14" s="487">
        <v>12</v>
      </c>
      <c r="F14" s="237">
        <f>(E14*D14)/60</f>
        <v>11</v>
      </c>
      <c r="G14" s="17">
        <f>C14*E14</f>
        <v>9480</v>
      </c>
      <c r="H14" s="88">
        <f>G14/2000</f>
        <v>4.74</v>
      </c>
    </row>
    <row r="15" spans="1:10" ht="14.25" thickBot="1" x14ac:dyDescent="0.3">
      <c r="A15" s="11" t="s">
        <v>34</v>
      </c>
      <c r="B15" s="244"/>
      <c r="C15" s="245">
        <v>124</v>
      </c>
      <c r="D15" s="245">
        <v>12</v>
      </c>
      <c r="E15" s="488">
        <v>260</v>
      </c>
      <c r="F15" s="238">
        <f>(E15*D15)/60</f>
        <v>52</v>
      </c>
      <c r="G15" s="18">
        <f>C15*E15</f>
        <v>32240</v>
      </c>
      <c r="H15" s="550">
        <f>G15/2000</f>
        <v>16.12</v>
      </c>
    </row>
    <row r="16" spans="1:10" ht="14.25" thickTop="1" x14ac:dyDescent="0.25">
      <c r="A16" s="11"/>
      <c r="B16" s="627" t="s">
        <v>39</v>
      </c>
      <c r="C16" s="627"/>
      <c r="D16" s="627"/>
      <c r="E16" s="627"/>
      <c r="F16" s="597">
        <f>SUM(F12:F15)</f>
        <v>159</v>
      </c>
      <c r="G16" s="8">
        <f>SUM(G12:G15)</f>
        <v>72880</v>
      </c>
      <c r="H16" s="552">
        <f>SUM(H12:H15)</f>
        <v>36.44</v>
      </c>
    </row>
    <row r="17" spans="1:10" x14ac:dyDescent="0.25">
      <c r="A17" s="11"/>
      <c r="B17" s="246" t="s">
        <v>384</v>
      </c>
      <c r="C17" s="246"/>
      <c r="D17" s="246"/>
      <c r="E17" s="246"/>
      <c r="F17" s="246"/>
      <c r="G17" s="89"/>
      <c r="H17" s="551"/>
    </row>
    <row r="18" spans="1:10" x14ac:dyDescent="0.25">
      <c r="A18" s="624" t="s">
        <v>35</v>
      </c>
      <c r="B18" s="240" t="s">
        <v>38</v>
      </c>
      <c r="C18" s="241">
        <v>9</v>
      </c>
      <c r="D18" s="241">
        <v>20</v>
      </c>
      <c r="E18" s="486">
        <v>208</v>
      </c>
      <c r="F18" s="236">
        <f>(E18*D18)/60</f>
        <v>69.333333333333329</v>
      </c>
      <c r="G18" s="8">
        <f>C18*E18</f>
        <v>1872</v>
      </c>
      <c r="H18" s="549">
        <f>G18/2000</f>
        <v>0.93600000000000005</v>
      </c>
    </row>
    <row r="19" spans="1:10" x14ac:dyDescent="0.25">
      <c r="A19" s="624"/>
      <c r="B19" s="242" t="s">
        <v>37</v>
      </c>
      <c r="C19" s="243">
        <v>10</v>
      </c>
      <c r="D19" s="243">
        <v>40</v>
      </c>
      <c r="E19" s="487">
        <v>40</v>
      </c>
      <c r="F19" s="237">
        <f>(E19*D19)/60</f>
        <v>26.666666666666668</v>
      </c>
      <c r="G19" s="17">
        <f>C19*E19</f>
        <v>400</v>
      </c>
      <c r="H19" s="88">
        <f>G19/2000</f>
        <v>0.2</v>
      </c>
    </row>
    <row r="20" spans="1:10" x14ac:dyDescent="0.25">
      <c r="A20" s="624"/>
      <c r="B20" s="242" t="s">
        <v>36</v>
      </c>
      <c r="C20" s="243">
        <v>55</v>
      </c>
      <c r="D20" s="243">
        <v>55</v>
      </c>
      <c r="E20" s="487">
        <v>12</v>
      </c>
      <c r="F20" s="237">
        <f>(E20*D20)/60</f>
        <v>11</v>
      </c>
      <c r="G20" s="17">
        <f>C20*E20</f>
        <v>660</v>
      </c>
      <c r="H20" s="88">
        <f>G20/2000</f>
        <v>0.33</v>
      </c>
    </row>
    <row r="21" spans="1:10" ht="14.25" thickBot="1" x14ac:dyDescent="0.3">
      <c r="A21" s="11" t="s">
        <v>34</v>
      </c>
      <c r="B21" s="244"/>
      <c r="C21" s="245">
        <v>26</v>
      </c>
      <c r="D21" s="245">
        <v>12</v>
      </c>
      <c r="E21" s="488">
        <v>260</v>
      </c>
      <c r="F21" s="238">
        <f>(E21*D21)/60</f>
        <v>52</v>
      </c>
      <c r="G21" s="18">
        <f>C21*E21</f>
        <v>6760</v>
      </c>
      <c r="H21" s="550">
        <f>G21/2000</f>
        <v>3.38</v>
      </c>
    </row>
    <row r="22" spans="1:10" ht="14.25" thickTop="1" x14ac:dyDescent="0.25">
      <c r="A22" s="11"/>
      <c r="B22" s="627" t="s">
        <v>39</v>
      </c>
      <c r="C22" s="627"/>
      <c r="D22" s="627"/>
      <c r="E22" s="627"/>
      <c r="F22" s="597">
        <f>SUM(F18:F21)</f>
        <v>159</v>
      </c>
      <c r="G22" s="8">
        <f>SUM(G18:G21)</f>
        <v>9692</v>
      </c>
      <c r="H22" s="552">
        <f>SUM(H18:H21)</f>
        <v>4.8460000000000001</v>
      </c>
    </row>
    <row r="23" spans="1:10" ht="15" x14ac:dyDescent="0.3">
      <c r="A23" s="11"/>
      <c r="B23" s="246" t="s">
        <v>87</v>
      </c>
      <c r="C23" s="246"/>
      <c r="D23" s="246"/>
      <c r="E23" s="246"/>
      <c r="F23" s="246"/>
      <c r="G23" s="89"/>
      <c r="H23" s="551"/>
    </row>
    <row r="24" spans="1:10" x14ac:dyDescent="0.25">
      <c r="A24" s="624" t="s">
        <v>35</v>
      </c>
      <c r="B24" s="240" t="s">
        <v>38</v>
      </c>
      <c r="C24" s="241">
        <v>4.5999999999999996</v>
      </c>
      <c r="D24" s="241">
        <v>20</v>
      </c>
      <c r="E24" s="486">
        <v>208</v>
      </c>
      <c r="F24" s="236">
        <f>(E24*D24)/60</f>
        <v>69.333333333333329</v>
      </c>
      <c r="G24" s="8">
        <f>C24*E24</f>
        <v>956.8</v>
      </c>
      <c r="H24" s="549">
        <f>G24/2000</f>
        <v>0.47839999999999999</v>
      </c>
    </row>
    <row r="25" spans="1:10" x14ac:dyDescent="0.25">
      <c r="A25" s="624"/>
      <c r="B25" s="242" t="s">
        <v>37</v>
      </c>
      <c r="C25" s="243">
        <v>9.1</v>
      </c>
      <c r="D25" s="243">
        <v>40</v>
      </c>
      <c r="E25" s="487">
        <v>40</v>
      </c>
      <c r="F25" s="237">
        <f>(E25*D25)/60</f>
        <v>26.666666666666668</v>
      </c>
      <c r="G25" s="17">
        <f>C25*E25</f>
        <v>364</v>
      </c>
      <c r="H25" s="88">
        <f>G25/2000</f>
        <v>0.182</v>
      </c>
    </row>
    <row r="26" spans="1:10" x14ac:dyDescent="0.25">
      <c r="A26" s="624"/>
      <c r="B26" s="242" t="s">
        <v>36</v>
      </c>
      <c r="C26" s="243">
        <v>13</v>
      </c>
      <c r="D26" s="243">
        <v>55</v>
      </c>
      <c r="E26" s="487">
        <v>12</v>
      </c>
      <c r="F26" s="237">
        <f>(E26*D26)/60</f>
        <v>11</v>
      </c>
      <c r="G26" s="17">
        <f>C26*E26</f>
        <v>156</v>
      </c>
      <c r="H26" s="88">
        <f>G26/2000</f>
        <v>7.8E-2</v>
      </c>
    </row>
    <row r="27" spans="1:10" ht="14.25" thickBot="1" x14ac:dyDescent="0.3">
      <c r="A27" s="11" t="s">
        <v>34</v>
      </c>
      <c r="B27" s="244"/>
      <c r="C27" s="245">
        <v>2.7</v>
      </c>
      <c r="D27" s="245">
        <v>12</v>
      </c>
      <c r="E27" s="488">
        <v>260</v>
      </c>
      <c r="F27" s="238">
        <f>(E27*D27)/60</f>
        <v>52</v>
      </c>
      <c r="G27" s="18">
        <f>C27*E27</f>
        <v>702</v>
      </c>
      <c r="H27" s="550">
        <f>G27/2000</f>
        <v>0.35099999999999998</v>
      </c>
    </row>
    <row r="28" spans="1:10" ht="14.25" thickTop="1" x14ac:dyDescent="0.25">
      <c r="A28" s="11"/>
      <c r="B28" s="627" t="s">
        <v>39</v>
      </c>
      <c r="C28" s="627"/>
      <c r="D28" s="627"/>
      <c r="E28" s="627"/>
      <c r="F28" s="597">
        <f>SUM(F24:F27)</f>
        <v>159</v>
      </c>
      <c r="G28" s="239">
        <f>SUM(G24:G27)</f>
        <v>2178.8000000000002</v>
      </c>
      <c r="H28" s="553">
        <f>SUM(H24:H27)</f>
        <v>1.0893999999999999</v>
      </c>
    </row>
    <row r="29" spans="1:10" ht="14.25" thickBot="1" x14ac:dyDescent="0.3">
      <c r="A29" s="10"/>
      <c r="B29" s="9"/>
      <c r="C29" s="9"/>
      <c r="D29" s="9"/>
      <c r="E29" s="9"/>
      <c r="F29" s="9"/>
      <c r="G29" s="9"/>
      <c r="H29" s="9"/>
    </row>
    <row r="30" spans="1:10" s="13" customFormat="1" ht="15.75" x14ac:dyDescent="0.25">
      <c r="A30" s="96" t="s">
        <v>280</v>
      </c>
      <c r="B30" s="6"/>
      <c r="I30" s="2"/>
      <c r="J30" s="2"/>
    </row>
    <row r="31" spans="1:10" ht="15.75" customHeight="1" x14ac:dyDescent="0.25">
      <c r="A31" s="626" t="s">
        <v>508</v>
      </c>
      <c r="B31" s="626"/>
      <c r="C31" s="626"/>
      <c r="D31" s="626"/>
      <c r="E31" s="626"/>
      <c r="F31" s="626"/>
      <c r="G31" s="626"/>
      <c r="H31" s="626"/>
      <c r="I31" s="626"/>
    </row>
    <row r="32" spans="1:10" ht="13.5" customHeight="1" x14ac:dyDescent="0.25">
      <c r="A32" s="626"/>
      <c r="B32" s="626"/>
      <c r="C32" s="626"/>
      <c r="D32" s="626"/>
      <c r="E32" s="626"/>
      <c r="F32" s="626"/>
      <c r="G32" s="626"/>
      <c r="H32" s="626"/>
      <c r="I32" s="626"/>
    </row>
    <row r="33" spans="1:9" x14ac:dyDescent="0.25">
      <c r="A33" s="3"/>
      <c r="B33" s="625"/>
      <c r="C33" s="625"/>
      <c r="D33" s="625"/>
      <c r="E33" s="625"/>
      <c r="F33" s="625"/>
      <c r="G33" s="8"/>
      <c r="H33" s="19"/>
      <c r="I33" s="3"/>
    </row>
  </sheetData>
  <mergeCells count="10">
    <mergeCell ref="A6:A8"/>
    <mergeCell ref="A12:A14"/>
    <mergeCell ref="B33:F33"/>
    <mergeCell ref="A18:A20"/>
    <mergeCell ref="A24:A26"/>
    <mergeCell ref="A31:I32"/>
    <mergeCell ref="B10:E10"/>
    <mergeCell ref="B16:E16"/>
    <mergeCell ref="B22:E22"/>
    <mergeCell ref="B28:E28"/>
  </mergeCells>
  <pageMargins left="0.59" right="0.62" top="1" bottom="1" header="0.5" footer="0.5"/>
  <pageSetup scale="85" orientation="landscape" r:id="rId1"/>
  <headerFooter alignWithMargins="0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81"/>
  <sheetViews>
    <sheetView topLeftCell="A53" zoomScaleNormal="100" zoomScaleSheetLayoutView="85" workbookViewId="0">
      <selection activeCell="A75" sqref="A75"/>
    </sheetView>
  </sheetViews>
  <sheetFormatPr defaultColWidth="9.140625" defaultRowHeight="13.5" x14ac:dyDescent="0.25"/>
  <cols>
    <col min="1" max="1" width="39.7109375" style="42" customWidth="1"/>
    <col min="2" max="2" width="21.7109375" style="42" customWidth="1"/>
    <col min="3" max="4" width="15.5703125" style="42" bestFit="1" customWidth="1"/>
    <col min="5" max="5" width="17" style="42" customWidth="1"/>
    <col min="6" max="6" width="12.42578125" style="42" customWidth="1"/>
    <col min="7" max="7" width="11.42578125" style="42" customWidth="1"/>
    <col min="8" max="10" width="13.5703125" style="42" customWidth="1"/>
    <col min="11" max="11" width="16.7109375" style="42" customWidth="1"/>
    <col min="12" max="12" width="11.7109375" style="42" customWidth="1"/>
    <col min="13" max="13" width="12" style="42" customWidth="1"/>
    <col min="14" max="16384" width="9.140625" style="42"/>
  </cols>
  <sheetData>
    <row r="1" spans="1:8" s="44" customFormat="1" ht="14.25" x14ac:dyDescent="0.3">
      <c r="A1" s="43" t="s">
        <v>419</v>
      </c>
      <c r="C1" s="45"/>
      <c r="D1" s="45"/>
      <c r="E1" s="45"/>
      <c r="F1" s="46"/>
      <c r="G1" s="46"/>
      <c r="H1" s="31"/>
    </row>
    <row r="2" spans="1:8" s="44" customFormat="1" ht="14.25" x14ac:dyDescent="0.3">
      <c r="A2" s="47" t="s">
        <v>116</v>
      </c>
      <c r="C2" s="45"/>
      <c r="D2" s="45"/>
      <c r="E2" s="45"/>
      <c r="F2" s="46"/>
      <c r="G2" s="46"/>
      <c r="H2" s="31"/>
    </row>
    <row r="3" spans="1:8" s="44" customFormat="1" ht="15" thickBot="1" x14ac:dyDescent="0.35">
      <c r="A3" s="43"/>
      <c r="C3" s="45"/>
      <c r="D3" s="45"/>
      <c r="E3" s="45"/>
      <c r="F3" s="46"/>
      <c r="G3" s="46"/>
      <c r="H3" s="31"/>
    </row>
    <row r="4" spans="1:8" ht="14.25" x14ac:dyDescent="0.3">
      <c r="A4" s="128" t="s">
        <v>8</v>
      </c>
      <c r="B4" s="129" t="s">
        <v>118</v>
      </c>
      <c r="C4" s="48"/>
      <c r="D4" s="48"/>
    </row>
    <row r="5" spans="1:8" ht="12.75" customHeight="1" x14ac:dyDescent="0.25">
      <c r="A5" s="97" t="s">
        <v>91</v>
      </c>
      <c r="B5" s="430">
        <v>1030</v>
      </c>
      <c r="C5" s="48"/>
      <c r="D5" s="48"/>
      <c r="F5" s="48"/>
    </row>
    <row r="6" spans="1:8" ht="12.75" customHeight="1" x14ac:dyDescent="0.25">
      <c r="A6" s="61" t="s">
        <v>96</v>
      </c>
      <c r="B6" s="476">
        <f>B5*B8/1000000</f>
        <v>77.773990725586458</v>
      </c>
      <c r="C6" s="48"/>
      <c r="D6" s="48"/>
      <c r="E6" s="48"/>
      <c r="F6" s="48"/>
    </row>
    <row r="7" spans="1:8" ht="12.75" customHeight="1" x14ac:dyDescent="0.25">
      <c r="A7" s="61" t="s">
        <v>95</v>
      </c>
      <c r="B7" s="64">
        <f>B6*1000000</f>
        <v>77773990.725586459</v>
      </c>
      <c r="C7" s="48"/>
      <c r="D7" s="48"/>
      <c r="E7" s="48"/>
      <c r="F7" s="48"/>
    </row>
    <row r="8" spans="1:8" ht="12.75" customHeight="1" x14ac:dyDescent="0.3">
      <c r="A8" s="61" t="s">
        <v>403</v>
      </c>
      <c r="B8" s="64">
        <v>75508.728859792682</v>
      </c>
      <c r="C8" s="48"/>
      <c r="D8" s="408"/>
      <c r="E8" s="408"/>
      <c r="F8" s="408"/>
    </row>
    <row r="9" spans="1:8" ht="12.75" customHeight="1" x14ac:dyDescent="0.25">
      <c r="A9" s="80" t="s">
        <v>404</v>
      </c>
      <c r="B9" s="256">
        <f>B8/1000000</f>
        <v>7.5508728859792679E-2</v>
      </c>
      <c r="C9" s="48"/>
      <c r="D9" s="48"/>
      <c r="E9" s="48"/>
      <c r="F9" s="580"/>
    </row>
    <row r="10" spans="1:8" ht="12.75" customHeight="1" x14ac:dyDescent="0.25">
      <c r="A10" s="80" t="s">
        <v>315</v>
      </c>
      <c r="B10" s="262">
        <f>B9*B12</f>
        <v>345.52794326241127</v>
      </c>
      <c r="C10" s="48"/>
      <c r="D10" s="48"/>
      <c r="E10" s="48"/>
      <c r="F10" s="48"/>
    </row>
    <row r="11" spans="1:8" ht="12.75" customHeight="1" x14ac:dyDescent="0.25">
      <c r="A11" s="80" t="s">
        <v>405</v>
      </c>
      <c r="B11" s="64">
        <f>B6*B12</f>
        <v>355893.78156028362</v>
      </c>
      <c r="C11" s="48"/>
      <c r="D11" s="48"/>
      <c r="E11" s="48"/>
      <c r="F11" s="48"/>
    </row>
    <row r="12" spans="1:8" ht="12.75" customHeight="1" x14ac:dyDescent="0.25">
      <c r="A12" s="61" t="s">
        <v>92</v>
      </c>
      <c r="B12" s="64">
        <v>4576</v>
      </c>
      <c r="C12" s="48"/>
      <c r="D12" s="48"/>
      <c r="E12" s="48"/>
      <c r="F12" s="48"/>
    </row>
    <row r="13" spans="1:8" ht="12.75" customHeight="1" x14ac:dyDescent="0.25">
      <c r="A13" s="141" t="s">
        <v>317</v>
      </c>
      <c r="B13" s="144">
        <v>1</v>
      </c>
      <c r="C13" s="48"/>
      <c r="D13" s="48"/>
      <c r="E13" s="48"/>
      <c r="F13" s="48"/>
    </row>
    <row r="14" spans="1:8" ht="12.75" customHeight="1" x14ac:dyDescent="0.25">
      <c r="A14" s="141" t="s">
        <v>462</v>
      </c>
      <c r="B14" s="476">
        <v>0.4</v>
      </c>
      <c r="C14" s="48"/>
      <c r="D14" s="48"/>
      <c r="E14" s="48"/>
      <c r="F14" s="48"/>
    </row>
    <row r="15" spans="1:8" ht="12.75" customHeight="1" x14ac:dyDescent="0.25">
      <c r="A15" s="141" t="s">
        <v>430</v>
      </c>
      <c r="B15" s="64">
        <v>7000</v>
      </c>
      <c r="C15" s="48"/>
      <c r="D15" s="48"/>
      <c r="E15" s="48"/>
      <c r="F15" s="48"/>
    </row>
    <row r="16" spans="1:8" ht="12.75" customHeight="1" x14ac:dyDescent="0.25">
      <c r="A16" s="147" t="s">
        <v>192</v>
      </c>
      <c r="B16" s="144">
        <v>0.1</v>
      </c>
      <c r="C16" s="48"/>
      <c r="D16" s="48"/>
      <c r="E16" s="48"/>
      <c r="F16" s="48"/>
    </row>
    <row r="17" spans="1:10" ht="12.75" customHeight="1" x14ac:dyDescent="0.25">
      <c r="A17" s="147" t="s">
        <v>193</v>
      </c>
      <c r="B17" s="144">
        <v>1</v>
      </c>
      <c r="C17" s="48"/>
      <c r="D17" s="48"/>
      <c r="E17" s="48"/>
      <c r="F17" s="48"/>
    </row>
    <row r="18" spans="1:10" ht="12.75" customHeight="1" x14ac:dyDescent="0.25">
      <c r="A18" s="61" t="s">
        <v>176</v>
      </c>
      <c r="B18" s="93">
        <v>32</v>
      </c>
      <c r="C18" s="48"/>
      <c r="D18" s="48"/>
      <c r="E18" s="48"/>
      <c r="F18" s="48"/>
    </row>
    <row r="19" spans="1:10" ht="12.75" customHeight="1" x14ac:dyDescent="0.25">
      <c r="A19" s="61" t="s">
        <v>65</v>
      </c>
      <c r="B19" s="93">
        <v>64</v>
      </c>
      <c r="C19" s="50"/>
      <c r="D19" s="50"/>
      <c r="E19" s="50"/>
      <c r="F19" s="50"/>
      <c r="G19" s="50"/>
      <c r="H19" s="50"/>
      <c r="I19" s="50"/>
      <c r="J19" s="50"/>
    </row>
    <row r="20" spans="1:10" ht="12.75" customHeight="1" x14ac:dyDescent="0.25">
      <c r="A20" s="61" t="s">
        <v>66</v>
      </c>
      <c r="B20" s="93">
        <v>80</v>
      </c>
      <c r="C20" s="50"/>
      <c r="D20" s="50"/>
      <c r="E20" s="50"/>
      <c r="F20" s="50"/>
      <c r="G20" s="50"/>
      <c r="H20" s="50"/>
      <c r="I20" s="50"/>
      <c r="J20" s="50"/>
    </row>
    <row r="21" spans="1:10" ht="12.75" customHeight="1" x14ac:dyDescent="0.25">
      <c r="A21" s="61" t="s">
        <v>67</v>
      </c>
      <c r="B21" s="93">
        <v>98</v>
      </c>
      <c r="C21" s="50"/>
      <c r="D21" s="50"/>
      <c r="E21" s="50"/>
      <c r="F21" s="50"/>
      <c r="G21" s="50"/>
      <c r="H21" s="50"/>
      <c r="I21" s="50"/>
      <c r="J21" s="50"/>
    </row>
    <row r="22" spans="1:10" ht="12.75" customHeight="1" x14ac:dyDescent="0.25">
      <c r="A22" s="61" t="s">
        <v>60</v>
      </c>
      <c r="B22" s="73">
        <v>1</v>
      </c>
      <c r="E22" s="581"/>
    </row>
    <row r="23" spans="1:10" ht="12.75" customHeight="1" x14ac:dyDescent="0.25">
      <c r="A23" s="61" t="s">
        <v>61</v>
      </c>
      <c r="B23" s="73">
        <v>25</v>
      </c>
      <c r="E23" s="582"/>
    </row>
    <row r="24" spans="1:10" ht="12.75" customHeight="1" thickBot="1" x14ac:dyDescent="0.3">
      <c r="A24" s="65" t="s">
        <v>62</v>
      </c>
      <c r="B24" s="74">
        <v>298</v>
      </c>
    </row>
    <row r="25" spans="1:10" ht="12.75" customHeight="1" x14ac:dyDescent="0.25">
      <c r="A25" s="490" t="s">
        <v>319</v>
      </c>
      <c r="B25" s="491"/>
      <c r="C25" s="50"/>
      <c r="D25" s="50"/>
      <c r="E25" s="50"/>
      <c r="F25" s="50"/>
      <c r="G25" s="50"/>
      <c r="H25" s="50"/>
      <c r="I25" s="50"/>
      <c r="J25" s="50"/>
    </row>
    <row r="26" spans="1:10" ht="12.75" customHeight="1" thickBot="1" x14ac:dyDescent="0.3">
      <c r="A26" s="304"/>
      <c r="B26" s="310" t="s">
        <v>316</v>
      </c>
      <c r="C26" s="50"/>
      <c r="D26" s="50"/>
      <c r="E26" s="50"/>
      <c r="F26" s="50"/>
      <c r="G26" s="50"/>
      <c r="H26" s="50"/>
      <c r="I26" s="50"/>
      <c r="J26" s="50"/>
    </row>
    <row r="27" spans="1:10" ht="12.75" customHeight="1" x14ac:dyDescent="0.25">
      <c r="A27" s="305" t="s">
        <v>150</v>
      </c>
      <c r="B27" s="443">
        <v>2.2046199999999998</v>
      </c>
    </row>
    <row r="28" spans="1:10" ht="12.75" customHeight="1" x14ac:dyDescent="0.25">
      <c r="A28" s="306" t="s">
        <v>151</v>
      </c>
      <c r="B28" s="307">
        <v>53.06</v>
      </c>
    </row>
    <row r="29" spans="1:10" ht="12.75" customHeight="1" x14ac:dyDescent="0.25">
      <c r="A29" s="306" t="s">
        <v>152</v>
      </c>
      <c r="B29" s="307">
        <f>B28*B27</f>
        <v>116.9771372</v>
      </c>
    </row>
    <row r="30" spans="1:10" ht="12.75" customHeight="1" x14ac:dyDescent="0.25">
      <c r="A30" s="306" t="s">
        <v>153</v>
      </c>
      <c r="B30" s="308">
        <v>1E-3</v>
      </c>
    </row>
    <row r="31" spans="1:10" ht="12.75" customHeight="1" x14ac:dyDescent="0.25">
      <c r="A31" s="306" t="s">
        <v>154</v>
      </c>
      <c r="B31" s="308">
        <f>B30*B27</f>
        <v>2.20462E-3</v>
      </c>
    </row>
    <row r="32" spans="1:10" ht="12.75" customHeight="1" thickBot="1" x14ac:dyDescent="0.3">
      <c r="A32" s="306" t="s">
        <v>155</v>
      </c>
      <c r="B32" s="308">
        <v>1E-4</v>
      </c>
    </row>
    <row r="33" spans="1:10" ht="12.75" customHeight="1" thickBot="1" x14ac:dyDescent="0.35">
      <c r="A33" s="304" t="s">
        <v>156</v>
      </c>
      <c r="B33" s="309">
        <f>B32*B27</f>
        <v>2.2046199999999999E-4</v>
      </c>
      <c r="G33" s="628" t="s">
        <v>422</v>
      </c>
      <c r="H33" s="629"/>
      <c r="I33" s="630"/>
    </row>
    <row r="34" spans="1:10" ht="29.25" thickBot="1" x14ac:dyDescent="0.35">
      <c r="A34" s="78"/>
      <c r="B34" s="79"/>
      <c r="C34" s="48"/>
      <c r="D34" s="48"/>
      <c r="G34" s="484" t="s">
        <v>423</v>
      </c>
      <c r="H34" s="631" t="s">
        <v>434</v>
      </c>
      <c r="I34" s="632"/>
    </row>
    <row r="35" spans="1:10" ht="31.5" thickBot="1" x14ac:dyDescent="0.35">
      <c r="A35" s="76" t="s">
        <v>2</v>
      </c>
      <c r="B35" s="69" t="s">
        <v>141</v>
      </c>
      <c r="C35" s="69" t="s">
        <v>123</v>
      </c>
      <c r="D35" s="70" t="s">
        <v>88</v>
      </c>
      <c r="E35" s="69" t="s">
        <v>407</v>
      </c>
      <c r="F35" s="70" t="s">
        <v>408</v>
      </c>
      <c r="G35" s="567" t="s">
        <v>215</v>
      </c>
      <c r="H35" s="150" t="s">
        <v>160</v>
      </c>
      <c r="I35" s="410" t="s">
        <v>424</v>
      </c>
    </row>
    <row r="36" spans="1:10" ht="14.25" customHeight="1" x14ac:dyDescent="0.25">
      <c r="A36" s="77" t="s">
        <v>1</v>
      </c>
      <c r="B36" s="583">
        <v>8.0000000000000002E-3</v>
      </c>
      <c r="C36" s="75">
        <f t="shared" ref="C36:C45" si="0">B36*$B$6</f>
        <v>0.62219192580469163</v>
      </c>
      <c r="D36" s="95">
        <f>(C36/2000)*$B$12</f>
        <v>1.4235751262411345</v>
      </c>
      <c r="E36" s="75">
        <f>C36*$B$80*1000/60</f>
        <v>4703.6880001600275</v>
      </c>
      <c r="F36" s="95">
        <f>E36/('Stack Parameters'!$D$9*(0.3048^3))</f>
        <v>11.996906983064894</v>
      </c>
      <c r="G36" s="454">
        <v>0</v>
      </c>
      <c r="H36" s="75">
        <f>C36/(1-$G36)</f>
        <v>0.62219192580469163</v>
      </c>
      <c r="I36" s="489">
        <f>D36/(1-$G36)</f>
        <v>1.4235751262411345</v>
      </c>
    </row>
    <row r="37" spans="1:10" ht="14.25" customHeight="1" x14ac:dyDescent="0.25">
      <c r="A37" s="61" t="s">
        <v>0</v>
      </c>
      <c r="B37" s="584">
        <v>1.0999999999999999E-2</v>
      </c>
      <c r="C37" s="56">
        <f>B37*$B$6</f>
        <v>0.85551389798145094</v>
      </c>
      <c r="D37" s="94">
        <f t="shared" ref="D37:D45" si="1">(C37/2000)*$B$12</f>
        <v>1.9574157985815597</v>
      </c>
      <c r="E37" s="56">
        <f t="shared" ref="E37:E47" si="2">C37*$B$80*1000/60</f>
        <v>6467.5710002200376</v>
      </c>
      <c r="F37" s="94">
        <f>E37/('Stack Parameters'!$D$9*(0.3048^3))</f>
        <v>16.49574710171423</v>
      </c>
      <c r="G37" s="456">
        <v>0</v>
      </c>
      <c r="H37" s="56">
        <f t="shared" ref="H37:I47" si="3">C37/(1-$G37)</f>
        <v>0.85551389798145094</v>
      </c>
      <c r="I37" s="261">
        <f t="shared" si="3"/>
        <v>1.9574157985815597</v>
      </c>
      <c r="J37" s="428"/>
    </row>
    <row r="38" spans="1:10" ht="14.25" customHeight="1" x14ac:dyDescent="0.25">
      <c r="A38" s="61" t="s">
        <v>3</v>
      </c>
      <c r="B38" s="584">
        <v>3.6999999999999998E-2</v>
      </c>
      <c r="C38" s="56">
        <f t="shared" si="0"/>
        <v>2.8776376568466988</v>
      </c>
      <c r="D38" s="94">
        <f t="shared" si="1"/>
        <v>6.5840349588652467</v>
      </c>
      <c r="E38" s="56">
        <f t="shared" si="2"/>
        <v>21754.557000740129</v>
      </c>
      <c r="F38" s="94">
        <f>E38/('Stack Parameters'!$D$9*(0.3048^3))</f>
        <v>55.485694796675141</v>
      </c>
      <c r="G38" s="456">
        <v>0</v>
      </c>
      <c r="H38" s="56">
        <f t="shared" si="3"/>
        <v>2.8776376568466988</v>
      </c>
      <c r="I38" s="261">
        <f t="shared" si="3"/>
        <v>6.5840349588652467</v>
      </c>
    </row>
    <row r="39" spans="1:10" ht="14.25" customHeight="1" x14ac:dyDescent="0.3">
      <c r="A39" s="80" t="s">
        <v>130</v>
      </c>
      <c r="B39" s="585">
        <f>(1*1000000)/B5*(B14/100)/B15*(B19/B18)</f>
        <v>1.1095700416088765E-3</v>
      </c>
      <c r="C39" s="56">
        <f>B39*$B$6</f>
        <v>8.6295690125477345E-2</v>
      </c>
      <c r="D39" s="94">
        <f>(C39/2000)*$B$12</f>
        <v>0.19744453900709216</v>
      </c>
      <c r="E39" s="56">
        <f t="shared" si="2"/>
        <v>652.38391125659189</v>
      </c>
      <c r="F39" s="94">
        <f>E39/('Stack Parameters'!$D$9*(0.3048^3))</f>
        <v>1.6639260725471421</v>
      </c>
      <c r="G39" s="456">
        <v>0</v>
      </c>
      <c r="H39" s="56">
        <f t="shared" si="3"/>
        <v>8.6295690125477345E-2</v>
      </c>
      <c r="I39" s="261">
        <f t="shared" si="3"/>
        <v>0.19744453900709216</v>
      </c>
    </row>
    <row r="40" spans="1:10" ht="14.25" customHeight="1" x14ac:dyDescent="0.3">
      <c r="A40" s="586" t="s">
        <v>507</v>
      </c>
      <c r="B40" s="587">
        <v>7.7741407528641596E-3</v>
      </c>
      <c r="C40" s="56">
        <f t="shared" si="0"/>
        <v>0.60462595081266091</v>
      </c>
      <c r="D40" s="94">
        <f t="shared" si="1"/>
        <v>1.3833841754593683</v>
      </c>
      <c r="E40" s="56">
        <f t="shared" si="2"/>
        <v>4570.8915713502747</v>
      </c>
      <c r="F40" s="94">
        <f>E40/('Stack Parameters'!$D$9*(0.3048^3))</f>
        <v>11.658205435670679</v>
      </c>
      <c r="G40" s="456">
        <v>0</v>
      </c>
      <c r="H40" s="56">
        <f t="shared" si="3"/>
        <v>0.60462595081266091</v>
      </c>
      <c r="I40" s="261">
        <f t="shared" si="3"/>
        <v>1.3833841754593683</v>
      </c>
    </row>
    <row r="41" spans="1:10" ht="14.25" customHeight="1" x14ac:dyDescent="0.25">
      <c r="A41" s="61" t="s">
        <v>40</v>
      </c>
      <c r="B41" s="58">
        <f>0.0005/B5</f>
        <v>4.8543689320388352E-7</v>
      </c>
      <c r="C41" s="59">
        <f t="shared" si="0"/>
        <v>3.775436442989634E-5</v>
      </c>
      <c r="D41" s="55">
        <f t="shared" si="1"/>
        <v>8.6381985815602827E-5</v>
      </c>
      <c r="E41" s="59">
        <f t="shared" si="2"/>
        <v>0.28541796117475904</v>
      </c>
      <c r="F41" s="55">
        <f>E41/('Stack Parameters'!$D$9*(0.3048^3))</f>
        <v>7.2796765673937484E-4</v>
      </c>
      <c r="G41" s="456">
        <v>0</v>
      </c>
      <c r="H41" s="59">
        <f t="shared" si="3"/>
        <v>3.775436442989634E-5</v>
      </c>
      <c r="I41" s="55">
        <f t="shared" si="3"/>
        <v>8.6381985815602827E-5</v>
      </c>
    </row>
    <row r="42" spans="1:10" ht="14.25" customHeight="1" x14ac:dyDescent="0.3">
      <c r="A42" s="61" t="s">
        <v>131</v>
      </c>
      <c r="B42" s="548">
        <f>$B$39*B16*$B$21/$B$19</f>
        <v>1.6990291262135922E-4</v>
      </c>
      <c r="C42" s="59">
        <f>B42*$B$6</f>
        <v>1.3214027550463718E-2</v>
      </c>
      <c r="D42" s="55">
        <f t="shared" si="1"/>
        <v>3.0233695035460983E-2</v>
      </c>
      <c r="E42" s="59">
        <f t="shared" si="2"/>
        <v>99.896286411165647</v>
      </c>
      <c r="F42" s="55">
        <f>E42/('Stack Parameters'!$D$9*(0.3048^3))</f>
        <v>0.25478867985878118</v>
      </c>
      <c r="G42" s="456">
        <v>0</v>
      </c>
      <c r="H42" s="59">
        <f t="shared" si="3"/>
        <v>1.3214027550463718E-2</v>
      </c>
      <c r="I42" s="55">
        <f t="shared" si="3"/>
        <v>3.0233695035460983E-2</v>
      </c>
    </row>
    <row r="43" spans="1:10" ht="14.25" customHeight="1" x14ac:dyDescent="0.3">
      <c r="A43" s="80" t="s">
        <v>132</v>
      </c>
      <c r="B43" s="56">
        <f>(B29*$B$13)</f>
        <v>116.9771372</v>
      </c>
      <c r="C43" s="63">
        <f t="shared" si="0"/>
        <v>9097.7787836984553</v>
      </c>
      <c r="D43" s="64">
        <f t="shared" si="1"/>
        <v>20815.717857102067</v>
      </c>
      <c r="E43" s="63">
        <f t="shared" si="2"/>
        <v>68777994.567589149</v>
      </c>
      <c r="F43" s="64">
        <f>E43/('Stack Parameters'!$D$9*(0.3048^3))</f>
        <v>175420.47926670252</v>
      </c>
      <c r="G43" s="456">
        <v>0</v>
      </c>
      <c r="H43" s="63">
        <f t="shared" si="3"/>
        <v>9097.7787836984553</v>
      </c>
      <c r="I43" s="64">
        <f t="shared" si="3"/>
        <v>20815.717857102067</v>
      </c>
    </row>
    <row r="44" spans="1:10" ht="14.25" customHeight="1" x14ac:dyDescent="0.3">
      <c r="A44" s="80" t="s">
        <v>133</v>
      </c>
      <c r="B44" s="59">
        <f>(B31*$B$13)</f>
        <v>2.20462E-3</v>
      </c>
      <c r="C44" s="56">
        <f t="shared" si="0"/>
        <v>0.17146209543344243</v>
      </c>
      <c r="D44" s="94">
        <f t="shared" si="1"/>
        <v>0.39230527435171625</v>
      </c>
      <c r="E44" s="56">
        <f t="shared" si="2"/>
        <v>1296.2305798641003</v>
      </c>
      <c r="F44" s="94">
        <f>E44/('Stack Parameters'!$D$9*(0.3048^3))</f>
        <v>3.3060776341255664</v>
      </c>
      <c r="G44" s="456">
        <v>0</v>
      </c>
      <c r="H44" s="56">
        <f t="shared" si="3"/>
        <v>0.17146209543344243</v>
      </c>
      <c r="I44" s="261">
        <f t="shared" si="3"/>
        <v>0.39230527435171625</v>
      </c>
    </row>
    <row r="45" spans="1:10" ht="14.25" customHeight="1" x14ac:dyDescent="0.3">
      <c r="A45" s="80" t="s">
        <v>134</v>
      </c>
      <c r="B45" s="59">
        <f>(B33*$B$13)</f>
        <v>2.2046199999999999E-4</v>
      </c>
      <c r="C45" s="56">
        <f t="shared" si="0"/>
        <v>1.714620954334424E-2</v>
      </c>
      <c r="D45" s="57">
        <f t="shared" si="1"/>
        <v>3.9230527435171622E-2</v>
      </c>
      <c r="E45" s="56">
        <f t="shared" si="2"/>
        <v>129.62305798641</v>
      </c>
      <c r="F45" s="57">
        <f>E45/('Stack Parameters'!$D$9*(0.3048^3))</f>
        <v>0.3306077634125566</v>
      </c>
      <c r="G45" s="456">
        <v>0</v>
      </c>
      <c r="H45" s="56">
        <f t="shared" si="3"/>
        <v>1.714620954334424E-2</v>
      </c>
      <c r="I45" s="261">
        <f t="shared" si="3"/>
        <v>3.9230527435171622E-2</v>
      </c>
    </row>
    <row r="46" spans="1:10" ht="14.25" customHeight="1" x14ac:dyDescent="0.25">
      <c r="A46" s="61" t="s">
        <v>139</v>
      </c>
      <c r="B46" s="62" t="s">
        <v>52</v>
      </c>
      <c r="C46" s="63">
        <f>SUM(C43:C45)</f>
        <v>9097.9673920034329</v>
      </c>
      <c r="D46" s="64">
        <f>SUM(D43:D45)</f>
        <v>20816.149392903855</v>
      </c>
      <c r="E46" s="63">
        <f t="shared" si="2"/>
        <v>68779420.421227008</v>
      </c>
      <c r="F46" s="64">
        <f>E46/('Stack Parameters'!$D$9*(0.3048^3))</f>
        <v>175424.11595210008</v>
      </c>
      <c r="G46" s="458">
        <v>0</v>
      </c>
      <c r="H46" s="63">
        <f t="shared" si="3"/>
        <v>9097.9673920034329</v>
      </c>
      <c r="I46" s="64">
        <f t="shared" si="3"/>
        <v>20816.149392903855</v>
      </c>
    </row>
    <row r="47" spans="1:10" ht="14.25" customHeight="1" thickBot="1" x14ac:dyDescent="0.35">
      <c r="A47" s="65" t="s">
        <v>140</v>
      </c>
      <c r="B47" s="66" t="s">
        <v>52</v>
      </c>
      <c r="C47" s="67">
        <f>SUM(C43*$B$22,C44*$B$23,C45*$B$24)</f>
        <v>9107.1749065282074</v>
      </c>
      <c r="D47" s="68">
        <f>SUM(D43*$B$22,D44*$B$23,D45*$B$24)</f>
        <v>20837.216186136538</v>
      </c>
      <c r="E47" s="67">
        <f t="shared" si="2"/>
        <v>68849028.00336571</v>
      </c>
      <c r="F47" s="68">
        <f>E47/('Stack Parameters'!$D$9*(0.3048^3))</f>
        <v>175601.65232105262</v>
      </c>
      <c r="G47" s="459">
        <v>0</v>
      </c>
      <c r="H47" s="67">
        <f t="shared" si="3"/>
        <v>9107.1749065282074</v>
      </c>
      <c r="I47" s="68">
        <f t="shared" si="3"/>
        <v>20837.216186136538</v>
      </c>
    </row>
    <row r="48" spans="1:10" x14ac:dyDescent="0.25">
      <c r="A48" s="52"/>
      <c r="B48" s="53"/>
      <c r="C48" s="53"/>
      <c r="D48" s="53"/>
      <c r="H48" s="51"/>
      <c r="I48" s="51"/>
    </row>
    <row r="49" spans="1:12" ht="15.75" x14ac:dyDescent="0.25">
      <c r="A49" s="49" t="s">
        <v>172</v>
      </c>
      <c r="C49" s="50"/>
      <c r="D49" s="50"/>
      <c r="E49" s="50"/>
      <c r="F49" s="50"/>
      <c r="G49" s="50"/>
      <c r="H49" s="50"/>
      <c r="I49" s="50"/>
      <c r="J49" s="50"/>
    </row>
    <row r="50" spans="1:12" ht="15.75" x14ac:dyDescent="0.25">
      <c r="A50" s="54" t="s">
        <v>135</v>
      </c>
      <c r="C50" s="50"/>
      <c r="D50" s="50"/>
      <c r="E50" s="50"/>
      <c r="F50" s="50"/>
      <c r="G50" s="50"/>
      <c r="H50" s="50"/>
      <c r="I50" s="50"/>
      <c r="J50" s="50"/>
    </row>
    <row r="51" spans="1:12" s="163" customFormat="1" ht="16.5" x14ac:dyDescent="0.3">
      <c r="A51" s="49" t="s">
        <v>436</v>
      </c>
      <c r="C51" s="52"/>
      <c r="D51" s="52"/>
      <c r="E51" s="52"/>
      <c r="F51" s="52"/>
      <c r="G51" s="52"/>
      <c r="H51" s="52"/>
      <c r="I51" s="52"/>
      <c r="J51" s="52"/>
    </row>
    <row r="52" spans="1:12" ht="64.5" customHeight="1" x14ac:dyDescent="0.3">
      <c r="A52" s="635" t="s">
        <v>281</v>
      </c>
      <c r="B52" s="635"/>
      <c r="C52" s="635"/>
      <c r="D52" s="635"/>
      <c r="E52" s="635"/>
      <c r="F52" s="635"/>
      <c r="G52" s="50"/>
      <c r="H52" s="50"/>
      <c r="I52" s="50"/>
      <c r="J52" s="50"/>
    </row>
    <row r="53" spans="1:12" ht="45" customHeight="1" x14ac:dyDescent="0.25">
      <c r="A53" s="620" t="s">
        <v>320</v>
      </c>
      <c r="B53" s="620"/>
      <c r="C53" s="620"/>
      <c r="D53" s="620"/>
      <c r="E53" s="620"/>
      <c r="F53" s="620"/>
      <c r="G53" s="132"/>
      <c r="H53" s="130"/>
      <c r="I53" s="130"/>
      <c r="J53" s="130"/>
      <c r="K53" s="130"/>
      <c r="L53" s="130"/>
    </row>
    <row r="54" spans="1:12" ht="18.75" customHeight="1" x14ac:dyDescent="0.25">
      <c r="A54" s="636" t="s">
        <v>137</v>
      </c>
      <c r="B54" s="636"/>
      <c r="C54" s="636"/>
      <c r="D54" s="636"/>
      <c r="E54" s="636"/>
      <c r="F54" s="636"/>
      <c r="G54" s="162"/>
    </row>
    <row r="55" spans="1:12" ht="40.5" customHeight="1" x14ac:dyDescent="0.25">
      <c r="A55" s="614" t="s">
        <v>136</v>
      </c>
      <c r="B55" s="614"/>
      <c r="C55" s="614"/>
      <c r="D55" s="614"/>
      <c r="E55" s="614"/>
      <c r="F55" s="614"/>
      <c r="G55" s="133"/>
    </row>
    <row r="56" spans="1:12" s="131" customFormat="1" ht="18" customHeight="1" x14ac:dyDescent="0.2">
      <c r="A56" s="614" t="s">
        <v>138</v>
      </c>
      <c r="B56" s="614"/>
      <c r="C56" s="614"/>
      <c r="D56" s="614"/>
      <c r="E56" s="614"/>
      <c r="F56" s="614"/>
      <c r="G56" s="133"/>
    </row>
    <row r="57" spans="1:12" x14ac:dyDescent="0.25">
      <c r="A57" s="50"/>
      <c r="B57" s="50"/>
      <c r="C57" s="50"/>
      <c r="D57" s="50"/>
      <c r="E57" s="50"/>
      <c r="F57" s="50"/>
      <c r="G57" s="50"/>
      <c r="H57" s="50"/>
      <c r="I57" s="50"/>
      <c r="J57" s="50"/>
    </row>
    <row r="58" spans="1:12" ht="15" thickBot="1" x14ac:dyDescent="0.35">
      <c r="A58" s="168" t="s">
        <v>13</v>
      </c>
      <c r="B58" s="50"/>
      <c r="C58" s="50"/>
      <c r="D58" s="50"/>
      <c r="E58" s="50"/>
      <c r="F58" s="50"/>
      <c r="G58" s="50"/>
      <c r="H58" s="50"/>
      <c r="I58" s="50"/>
      <c r="J58" s="50"/>
    </row>
    <row r="59" spans="1:12" ht="31.5" thickBot="1" x14ac:dyDescent="0.35">
      <c r="A59" s="208" t="s">
        <v>2</v>
      </c>
      <c r="B59" s="99" t="s">
        <v>185</v>
      </c>
      <c r="C59" s="99" t="s">
        <v>4</v>
      </c>
      <c r="D59" s="100" t="s">
        <v>88</v>
      </c>
      <c r="E59" s="69" t="s">
        <v>409</v>
      </c>
      <c r="F59" s="70" t="s">
        <v>410</v>
      </c>
      <c r="G59" s="50"/>
      <c r="H59" s="50"/>
      <c r="I59" s="50"/>
      <c r="J59" s="50"/>
    </row>
    <row r="60" spans="1:12" ht="12" customHeight="1" x14ac:dyDescent="0.25">
      <c r="A60" s="101" t="s">
        <v>252</v>
      </c>
      <c r="B60" s="102">
        <v>2.4000000000000001E-5</v>
      </c>
      <c r="C60" s="103">
        <f>B60*$B$9</f>
        <v>1.8122094926350243E-6</v>
      </c>
      <c r="D60" s="104">
        <f>(C60/2000)*$B$12</f>
        <v>4.1463353191489358E-6</v>
      </c>
      <c r="E60" s="103">
        <f>C60*$B$80*1000/60</f>
        <v>1.3700062136388432E-2</v>
      </c>
      <c r="F60" s="104">
        <f>E60/('Stack Parameters'!$D$9*(0.3048^3))</f>
        <v>3.4942447523489992E-5</v>
      </c>
      <c r="G60" s="50"/>
      <c r="H60" s="50"/>
      <c r="I60" s="50"/>
      <c r="J60" s="50"/>
    </row>
    <row r="61" spans="1:12" ht="12" customHeight="1" x14ac:dyDescent="0.25">
      <c r="A61" s="105" t="s">
        <v>69</v>
      </c>
      <c r="B61" s="106">
        <v>2.0000000000000001E-4</v>
      </c>
      <c r="C61" s="107">
        <f t="shared" ref="C61:C77" si="4">B61*$B$9</f>
        <v>1.5101745771958536E-5</v>
      </c>
      <c r="D61" s="108">
        <f t="shared" ref="D61:D77" si="5">(C61/2000)*$B$12</f>
        <v>3.4552794326241132E-5</v>
      </c>
      <c r="E61" s="107">
        <f t="shared" ref="E61:E77" si="6">C61*$B$80*1000/60</f>
        <v>0.11416718446990361</v>
      </c>
      <c r="F61" s="108">
        <f>E61/('Stack Parameters'!$D$9*(0.3048^3))</f>
        <v>2.9118706269574989E-4</v>
      </c>
      <c r="G61" s="50"/>
      <c r="H61" s="50"/>
      <c r="I61" s="50"/>
      <c r="J61" s="50"/>
    </row>
    <row r="62" spans="1:12" ht="12" customHeight="1" x14ac:dyDescent="0.25">
      <c r="A62" s="105" t="s">
        <v>16</v>
      </c>
      <c r="B62" s="106">
        <v>2.0999999999999999E-3</v>
      </c>
      <c r="C62" s="107">
        <f t="shared" si="4"/>
        <v>1.5856833060556462E-4</v>
      </c>
      <c r="D62" s="108">
        <f t="shared" si="5"/>
        <v>3.6280434042553183E-4</v>
      </c>
      <c r="E62" s="107">
        <f t="shared" si="6"/>
        <v>1.1987554369339877</v>
      </c>
      <c r="F62" s="108">
        <f>E62/('Stack Parameters'!$D$9*(0.3048^3))</f>
        <v>3.0574641583053738E-3</v>
      </c>
      <c r="G62" s="50"/>
      <c r="H62" s="50"/>
      <c r="I62" s="50"/>
      <c r="J62" s="50"/>
    </row>
    <row r="63" spans="1:12" ht="12" customHeight="1" x14ac:dyDescent="0.25">
      <c r="A63" s="105" t="s">
        <v>194</v>
      </c>
      <c r="B63" s="106">
        <v>1.1000000000000001E-3</v>
      </c>
      <c r="C63" s="107">
        <f t="shared" si="4"/>
        <v>8.305960174577195E-5</v>
      </c>
      <c r="D63" s="108">
        <f t="shared" si="5"/>
        <v>1.900403687943262E-4</v>
      </c>
      <c r="E63" s="107">
        <f t="shared" si="6"/>
        <v>0.62791951458446982</v>
      </c>
      <c r="F63" s="108">
        <f>E63/('Stack Parameters'!$D$9*(0.3048^3))</f>
        <v>1.6015288448266245E-3</v>
      </c>
      <c r="G63" s="50"/>
      <c r="H63" s="50"/>
      <c r="I63" s="50"/>
      <c r="J63" s="50"/>
    </row>
    <row r="64" spans="1:12" ht="12" customHeight="1" x14ac:dyDescent="0.25">
      <c r="A64" s="105" t="s">
        <v>70</v>
      </c>
      <c r="B64" s="106">
        <v>1.4E-3</v>
      </c>
      <c r="C64" s="107">
        <f t="shared" si="4"/>
        <v>1.0571222040370975E-4</v>
      </c>
      <c r="D64" s="108">
        <f t="shared" si="5"/>
        <v>2.4186956028368791E-4</v>
      </c>
      <c r="E64" s="107">
        <f t="shared" si="6"/>
        <v>0.79917029128932515</v>
      </c>
      <c r="F64" s="108">
        <f>E64/('Stack Parameters'!$D$9*(0.3048^3))</f>
        <v>2.038309438870249E-3</v>
      </c>
      <c r="G64" s="50"/>
      <c r="H64" s="50"/>
      <c r="I64" s="50"/>
      <c r="J64" s="50"/>
    </row>
    <row r="65" spans="1:10" ht="12" customHeight="1" x14ac:dyDescent="0.25">
      <c r="A65" s="105" t="s">
        <v>71</v>
      </c>
      <c r="B65" s="106">
        <v>8.3999999999999995E-5</v>
      </c>
      <c r="C65" s="107">
        <f t="shared" si="4"/>
        <v>6.3427332242225847E-6</v>
      </c>
      <c r="D65" s="108">
        <f t="shared" si="5"/>
        <v>1.4512173617021275E-5</v>
      </c>
      <c r="E65" s="107">
        <f t="shared" si="6"/>
        <v>4.7950217477359509E-2</v>
      </c>
      <c r="F65" s="108">
        <f>E65/('Stack Parameters'!$D$9*(0.3048^3))</f>
        <v>1.2229856633221494E-4</v>
      </c>
      <c r="G65" s="50"/>
      <c r="H65" s="50"/>
      <c r="I65" s="50"/>
      <c r="J65" s="50"/>
    </row>
    <row r="66" spans="1:10" ht="12" customHeight="1" x14ac:dyDescent="0.25">
      <c r="A66" s="105" t="s">
        <v>27</v>
      </c>
      <c r="B66" s="106">
        <v>1.1999999999999999E-3</v>
      </c>
      <c r="C66" s="107">
        <f t="shared" si="4"/>
        <v>9.0610474631751207E-5</v>
      </c>
      <c r="D66" s="108">
        <f t="shared" si="5"/>
        <v>2.0731676595744678E-4</v>
      </c>
      <c r="E66" s="107">
        <f t="shared" si="6"/>
        <v>0.68500310681942145</v>
      </c>
      <c r="F66" s="108">
        <f>E66/('Stack Parameters'!$D$9*(0.3048^3))</f>
        <v>1.7471223761744989E-3</v>
      </c>
      <c r="G66" s="50"/>
      <c r="H66" s="50"/>
      <c r="I66" s="50"/>
      <c r="J66" s="50"/>
    </row>
    <row r="67" spans="1:10" ht="12" customHeight="1" x14ac:dyDescent="0.25">
      <c r="A67" s="105" t="s">
        <v>72</v>
      </c>
      <c r="B67" s="106">
        <v>3.0000000000000001E-6</v>
      </c>
      <c r="C67" s="107">
        <f t="shared" si="4"/>
        <v>2.2652618657937804E-7</v>
      </c>
      <c r="D67" s="108">
        <f t="shared" si="5"/>
        <v>5.1829191489361698E-7</v>
      </c>
      <c r="E67" s="107">
        <f t="shared" si="6"/>
        <v>1.7125077670485541E-3</v>
      </c>
      <c r="F67" s="108">
        <f>E67/('Stack Parameters'!$D$9*(0.3048^3))</f>
        <v>4.3678059404362489E-6</v>
      </c>
      <c r="G67" s="50"/>
      <c r="H67" s="50"/>
      <c r="I67" s="50"/>
      <c r="J67" s="50"/>
    </row>
    <row r="68" spans="1:10" ht="12" customHeight="1" x14ac:dyDescent="0.25">
      <c r="A68" s="105" t="s">
        <v>73</v>
      </c>
      <c r="B68" s="106">
        <v>2.7999999999999999E-6</v>
      </c>
      <c r="C68" s="107">
        <f t="shared" si="4"/>
        <v>2.114244408074195E-7</v>
      </c>
      <c r="D68" s="108">
        <f t="shared" si="5"/>
        <v>4.8373912056737586E-7</v>
      </c>
      <c r="E68" s="107">
        <f t="shared" si="6"/>
        <v>1.5983405825786502E-3</v>
      </c>
      <c r="F68" s="108">
        <f>E68/('Stack Parameters'!$D$9*(0.3048^3))</f>
        <v>4.0766188777404981E-6</v>
      </c>
    </row>
    <row r="69" spans="1:10" ht="12" customHeight="1" x14ac:dyDescent="0.25">
      <c r="A69" s="105" t="s">
        <v>17</v>
      </c>
      <c r="B69" s="106">
        <v>7.4999999999999997E-2</v>
      </c>
      <c r="C69" s="107">
        <f t="shared" si="4"/>
        <v>5.6631546644844511E-3</v>
      </c>
      <c r="D69" s="108">
        <f t="shared" si="5"/>
        <v>1.2957297872340425E-2</v>
      </c>
      <c r="E69" s="107">
        <f t="shared" si="6"/>
        <v>42.812694176213853</v>
      </c>
      <c r="F69" s="108">
        <f>E69/('Stack Parameters'!$D$9*(0.3048^3))</f>
        <v>0.10919514851090623</v>
      </c>
    </row>
    <row r="70" spans="1:10" ht="12" customHeight="1" x14ac:dyDescent="0.25">
      <c r="A70" s="105" t="s">
        <v>29</v>
      </c>
      <c r="B70" s="106">
        <v>1.8</v>
      </c>
      <c r="C70" s="107">
        <f t="shared" si="4"/>
        <v>0.13591571194762683</v>
      </c>
      <c r="D70" s="108">
        <f t="shared" si="5"/>
        <v>0.31097514893617023</v>
      </c>
      <c r="E70" s="107">
        <f t="shared" si="6"/>
        <v>1027.5046602291325</v>
      </c>
      <c r="F70" s="108">
        <f>E70/('Stack Parameters'!$D$9*(0.3048^3))</f>
        <v>2.6206835642617494</v>
      </c>
    </row>
    <row r="71" spans="1:10" ht="12" customHeight="1" x14ac:dyDescent="0.25">
      <c r="A71" s="105" t="s">
        <v>74</v>
      </c>
      <c r="B71" s="106">
        <v>3.8000000000000002E-4</v>
      </c>
      <c r="C71" s="107">
        <f t="shared" si="4"/>
        <v>2.8693316966721219E-5</v>
      </c>
      <c r="D71" s="108">
        <f t="shared" si="5"/>
        <v>6.5650309219858157E-5</v>
      </c>
      <c r="E71" s="107">
        <f t="shared" si="6"/>
        <v>0.21691765049281686</v>
      </c>
      <c r="F71" s="108">
        <f>E71/('Stack Parameters'!$D$9*(0.3048^3))</f>
        <v>5.5325541912192488E-4</v>
      </c>
    </row>
    <row r="72" spans="1:10" ht="12" customHeight="1" x14ac:dyDescent="0.25">
      <c r="A72" s="105" t="s">
        <v>75</v>
      </c>
      <c r="B72" s="106">
        <v>2.5999999999999998E-4</v>
      </c>
      <c r="C72" s="107">
        <f t="shared" si="4"/>
        <v>1.9632269503546095E-5</v>
      </c>
      <c r="D72" s="108">
        <f t="shared" si="5"/>
        <v>4.4918632624113467E-5</v>
      </c>
      <c r="E72" s="107">
        <f t="shared" si="6"/>
        <v>0.14841733981087465</v>
      </c>
      <c r="F72" s="108">
        <f>E72/('Stack Parameters'!$D$9*(0.3048^3))</f>
        <v>3.7854318150447482E-4</v>
      </c>
    </row>
    <row r="73" spans="1:10" ht="12" customHeight="1" x14ac:dyDescent="0.25">
      <c r="A73" s="109" t="s">
        <v>18</v>
      </c>
      <c r="B73" s="106">
        <v>6.0999999999999997E-4</v>
      </c>
      <c r="C73" s="107">
        <f t="shared" si="4"/>
        <v>4.6060324604473532E-5</v>
      </c>
      <c r="D73" s="108">
        <f t="shared" si="5"/>
        <v>1.0538602269503544E-4</v>
      </c>
      <c r="E73" s="107">
        <f t="shared" si="6"/>
        <v>0.34820991263320594</v>
      </c>
      <c r="F73" s="108">
        <f>E73/('Stack Parameters'!$D$9*(0.3048^3))</f>
        <v>8.8812054122203708E-4</v>
      </c>
    </row>
    <row r="74" spans="1:10" ht="12" customHeight="1" x14ac:dyDescent="0.25">
      <c r="A74" s="109" t="s">
        <v>76</v>
      </c>
      <c r="B74" s="106">
        <v>2.0999999999999999E-3</v>
      </c>
      <c r="C74" s="107">
        <f t="shared" si="4"/>
        <v>1.5856833060556462E-4</v>
      </c>
      <c r="D74" s="108">
        <f t="shared" si="5"/>
        <v>3.6280434042553183E-4</v>
      </c>
      <c r="E74" s="107">
        <f t="shared" si="6"/>
        <v>1.1987554369339877</v>
      </c>
      <c r="F74" s="108">
        <f>E74/('Stack Parameters'!$D$9*(0.3048^3))</f>
        <v>3.0574641583053738E-3</v>
      </c>
    </row>
    <row r="75" spans="1:10" ht="12" customHeight="1" x14ac:dyDescent="0.25">
      <c r="A75" s="109" t="s">
        <v>77</v>
      </c>
      <c r="B75" s="106">
        <v>1.7E-5</v>
      </c>
      <c r="C75" s="107">
        <f t="shared" si="4"/>
        <v>1.2836483906164755E-6</v>
      </c>
      <c r="D75" s="108">
        <f t="shared" si="5"/>
        <v>2.936987517730496E-6</v>
      </c>
      <c r="E75" s="107">
        <f t="shared" si="6"/>
        <v>9.7042106799418056E-3</v>
      </c>
      <c r="F75" s="108">
        <f>E75/('Stack Parameters'!$D$9*(0.3048^3))</f>
        <v>2.4750900329138742E-5</v>
      </c>
    </row>
    <row r="76" spans="1:10" ht="12" customHeight="1" x14ac:dyDescent="0.25">
      <c r="A76" s="110" t="s">
        <v>78</v>
      </c>
      <c r="B76" s="106">
        <v>5.0000000000000004E-6</v>
      </c>
      <c r="C76" s="107">
        <f t="shared" si="4"/>
        <v>3.7754364429896342E-7</v>
      </c>
      <c r="D76" s="108">
        <f t="shared" si="5"/>
        <v>8.6381985815602826E-7</v>
      </c>
      <c r="E76" s="107">
        <f t="shared" si="6"/>
        <v>2.8541796117475897E-3</v>
      </c>
      <c r="F76" s="108">
        <f>E76/('Stack Parameters'!$D$9*(0.3048^3))</f>
        <v>7.2796765673937468E-6</v>
      </c>
    </row>
    <row r="77" spans="1:10" ht="12" customHeight="1" thickBot="1" x14ac:dyDescent="0.3">
      <c r="A77" s="111" t="s">
        <v>19</v>
      </c>
      <c r="B77" s="112">
        <v>3.3999999999999998E-3</v>
      </c>
      <c r="C77" s="113">
        <f t="shared" si="4"/>
        <v>2.5672967812329507E-4</v>
      </c>
      <c r="D77" s="114">
        <f t="shared" si="5"/>
        <v>5.8739750354609905E-4</v>
      </c>
      <c r="E77" s="113">
        <f t="shared" si="6"/>
        <v>1.940842135988361</v>
      </c>
      <c r="F77" s="114">
        <f>E77/('Stack Parameters'!$D$9*(0.3048^3))</f>
        <v>4.950180065827748E-3</v>
      </c>
    </row>
    <row r="78" spans="1:10" ht="15.75" customHeight="1" x14ac:dyDescent="0.25">
      <c r="A78" s="633" t="s">
        <v>258</v>
      </c>
      <c r="B78" s="633"/>
      <c r="C78" s="633"/>
      <c r="D78" s="633"/>
    </row>
    <row r="79" spans="1:10" x14ac:dyDescent="0.25">
      <c r="A79" s="634"/>
      <c r="B79" s="634"/>
      <c r="C79" s="634"/>
      <c r="D79" s="634"/>
    </row>
    <row r="80" spans="1:10" ht="15.75" x14ac:dyDescent="0.25">
      <c r="A80" s="411" t="s">
        <v>411</v>
      </c>
      <c r="B80" s="48">
        <f>453.592</f>
        <v>453.59199999999998</v>
      </c>
    </row>
    <row r="81" spans="1:2" ht="15.75" x14ac:dyDescent="0.25">
      <c r="A81" s="42" t="s">
        <v>412</v>
      </c>
      <c r="B81" s="412">
        <f>'Stack Parameters'!D9</f>
        <v>13846</v>
      </c>
    </row>
  </sheetData>
  <sortState ref="A53:D84">
    <sortCondition ref="A52"/>
  </sortState>
  <mergeCells count="8">
    <mergeCell ref="G33:I33"/>
    <mergeCell ref="H34:I34"/>
    <mergeCell ref="A78:D79"/>
    <mergeCell ref="A52:F52"/>
    <mergeCell ref="A53:F53"/>
    <mergeCell ref="A54:F54"/>
    <mergeCell ref="A55:F55"/>
    <mergeCell ref="A56:F56"/>
  </mergeCells>
  <phoneticPr fontId="6" type="noConversion"/>
  <pageMargins left="0.56000000000000005" right="0.36" top="0.26" bottom="0.15" header="0.28000000000000003" footer="0.09"/>
  <pageSetup scale="6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81"/>
  <sheetViews>
    <sheetView tabSelected="1" topLeftCell="A53" zoomScaleNormal="100" zoomScaleSheetLayoutView="85" workbookViewId="0">
      <selection activeCell="A75" sqref="A75"/>
    </sheetView>
  </sheetViews>
  <sheetFormatPr defaultColWidth="9.140625" defaultRowHeight="13.5" x14ac:dyDescent="0.25"/>
  <cols>
    <col min="1" max="1" width="43.7109375" style="42" customWidth="1"/>
    <col min="2" max="2" width="19.42578125" style="42" customWidth="1"/>
    <col min="3" max="4" width="15.5703125" style="42" bestFit="1" customWidth="1"/>
    <col min="5" max="5" width="17" style="42" customWidth="1"/>
    <col min="6" max="6" width="12.42578125" style="42" customWidth="1"/>
    <col min="7" max="7" width="11.42578125" style="42" customWidth="1"/>
    <col min="8" max="8" width="10.85546875" style="42" customWidth="1"/>
    <col min="9" max="9" width="9.7109375" style="42" customWidth="1"/>
    <col min="10" max="10" width="9.85546875" style="42" bestFit="1" customWidth="1"/>
    <col min="11" max="11" width="16.7109375" style="42" customWidth="1"/>
    <col min="12" max="12" width="11.7109375" style="42" customWidth="1"/>
    <col min="13" max="13" width="12" style="42" customWidth="1"/>
    <col min="14" max="16384" width="9.140625" style="42"/>
  </cols>
  <sheetData>
    <row r="1" spans="1:8" s="44" customFormat="1" ht="14.25" x14ac:dyDescent="0.3">
      <c r="A1" s="43" t="s">
        <v>419</v>
      </c>
      <c r="C1" s="45"/>
      <c r="D1" s="45"/>
      <c r="E1" s="45"/>
      <c r="F1" s="46"/>
      <c r="G1" s="46"/>
      <c r="H1" s="31"/>
    </row>
    <row r="2" spans="1:8" s="44" customFormat="1" ht="14.25" x14ac:dyDescent="0.3">
      <c r="A2" s="47" t="s">
        <v>385</v>
      </c>
      <c r="C2" s="45"/>
      <c r="D2" s="45"/>
      <c r="E2" s="45"/>
      <c r="F2" s="46"/>
      <c r="G2" s="46"/>
      <c r="H2" s="31"/>
    </row>
    <row r="3" spans="1:8" s="44" customFormat="1" ht="15" thickBot="1" x14ac:dyDescent="0.35">
      <c r="A3" s="43"/>
      <c r="C3" s="45"/>
      <c r="D3" s="45"/>
      <c r="E3" s="45"/>
      <c r="F3" s="46"/>
      <c r="G3" s="46"/>
      <c r="H3" s="31"/>
    </row>
    <row r="4" spans="1:8" ht="14.25" x14ac:dyDescent="0.3">
      <c r="A4" s="128" t="s">
        <v>8</v>
      </c>
      <c r="B4" s="129" t="s">
        <v>118</v>
      </c>
      <c r="C4" s="48"/>
      <c r="D4" s="48"/>
    </row>
    <row r="5" spans="1:8" ht="12.75" customHeight="1" x14ac:dyDescent="0.25">
      <c r="A5" s="97" t="s">
        <v>91</v>
      </c>
      <c r="B5" s="430">
        <v>1030</v>
      </c>
      <c r="C5" s="48"/>
      <c r="D5" s="48"/>
    </row>
    <row r="6" spans="1:8" ht="12.75" customHeight="1" x14ac:dyDescent="0.25">
      <c r="A6" s="61" t="s">
        <v>96</v>
      </c>
      <c r="B6" s="476">
        <f>B5*B8/1000000</f>
        <v>5.4700588714428635</v>
      </c>
      <c r="C6" s="48"/>
      <c r="D6" s="48"/>
      <c r="E6" s="48"/>
      <c r="F6" s="48"/>
    </row>
    <row r="7" spans="1:8" ht="12.75" customHeight="1" x14ac:dyDescent="0.25">
      <c r="A7" s="61" t="s">
        <v>95</v>
      </c>
      <c r="B7" s="64">
        <f>B6*1000000</f>
        <v>5470058.8714428637</v>
      </c>
      <c r="C7" s="48"/>
      <c r="D7" s="48"/>
      <c r="E7" s="48"/>
      <c r="F7" s="48"/>
    </row>
    <row r="8" spans="1:8" ht="12.75" customHeight="1" x14ac:dyDescent="0.3">
      <c r="A8" s="61" t="s">
        <v>94</v>
      </c>
      <c r="B8" s="64">
        <v>5310.7367683911298</v>
      </c>
      <c r="C8" s="48"/>
      <c r="D8" s="408"/>
      <c r="E8" s="408"/>
      <c r="F8" s="588"/>
    </row>
    <row r="9" spans="1:8" ht="12.75" customHeight="1" x14ac:dyDescent="0.25">
      <c r="A9" s="80" t="s">
        <v>93</v>
      </c>
      <c r="B9" s="256">
        <f>B8/1000000</f>
        <v>5.3107367683911302E-3</v>
      </c>
      <c r="C9" s="48"/>
      <c r="D9" s="48"/>
      <c r="E9" s="48"/>
      <c r="F9" s="48"/>
    </row>
    <row r="10" spans="1:8" ht="12.75" customHeight="1" x14ac:dyDescent="0.25">
      <c r="A10" s="80" t="s">
        <v>315</v>
      </c>
      <c r="B10" s="262">
        <f>B9*B12</f>
        <v>46.522054091106298</v>
      </c>
      <c r="C10" s="48"/>
      <c r="D10" s="48"/>
      <c r="E10" s="48"/>
      <c r="F10" s="48"/>
    </row>
    <row r="11" spans="1:8" ht="12.75" customHeight="1" x14ac:dyDescent="0.25">
      <c r="A11" s="80" t="s">
        <v>405</v>
      </c>
      <c r="B11" s="64">
        <f>B6*B12</f>
        <v>47917.715713839483</v>
      </c>
      <c r="C11" s="48"/>
      <c r="D11" s="48"/>
      <c r="E11" s="48"/>
      <c r="F11" s="48"/>
    </row>
    <row r="12" spans="1:8" ht="12.75" customHeight="1" x14ac:dyDescent="0.25">
      <c r="A12" s="61" t="s">
        <v>92</v>
      </c>
      <c r="B12" s="64">
        <v>8760</v>
      </c>
      <c r="C12" s="48"/>
      <c r="D12" s="48"/>
      <c r="E12" s="48"/>
      <c r="F12" s="48"/>
    </row>
    <row r="13" spans="1:8" ht="12.75" customHeight="1" x14ac:dyDescent="0.25">
      <c r="A13" s="141" t="s">
        <v>317</v>
      </c>
      <c r="B13" s="144">
        <v>1</v>
      </c>
      <c r="C13" s="48"/>
      <c r="D13" s="48"/>
      <c r="E13" s="48"/>
      <c r="F13" s="48"/>
    </row>
    <row r="14" spans="1:8" ht="12.75" customHeight="1" x14ac:dyDescent="0.25">
      <c r="A14" s="141" t="s">
        <v>463</v>
      </c>
      <c r="B14" s="476">
        <v>0.4</v>
      </c>
      <c r="C14" s="48"/>
      <c r="D14" s="48"/>
      <c r="E14" s="48"/>
      <c r="F14" s="48"/>
    </row>
    <row r="15" spans="1:8" ht="12.75" customHeight="1" x14ac:dyDescent="0.25">
      <c r="A15" s="141" t="s">
        <v>430</v>
      </c>
      <c r="B15" s="64">
        <v>7000</v>
      </c>
      <c r="C15" s="48"/>
      <c r="D15" s="48"/>
      <c r="E15" s="48"/>
      <c r="F15" s="48"/>
    </row>
    <row r="16" spans="1:8" ht="12.75" customHeight="1" x14ac:dyDescent="0.25">
      <c r="A16" s="147" t="s">
        <v>192</v>
      </c>
      <c r="B16" s="144">
        <v>0.1</v>
      </c>
      <c r="C16" s="48"/>
      <c r="D16" s="48"/>
      <c r="E16" s="48"/>
      <c r="F16" s="48"/>
    </row>
    <row r="17" spans="1:10" ht="12.75" customHeight="1" x14ac:dyDescent="0.25">
      <c r="A17" s="147" t="s">
        <v>193</v>
      </c>
      <c r="B17" s="144">
        <v>1</v>
      </c>
      <c r="C17" s="48"/>
      <c r="D17" s="48"/>
      <c r="E17" s="48"/>
      <c r="F17" s="48"/>
    </row>
    <row r="18" spans="1:10" ht="12.75" customHeight="1" x14ac:dyDescent="0.25">
      <c r="A18" s="61" t="s">
        <v>176</v>
      </c>
      <c r="B18" s="93">
        <v>32</v>
      </c>
      <c r="C18" s="48"/>
      <c r="D18" s="48"/>
      <c r="E18" s="48"/>
      <c r="F18" s="48"/>
    </row>
    <row r="19" spans="1:10" ht="12.75" customHeight="1" x14ac:dyDescent="0.25">
      <c r="A19" s="61" t="s">
        <v>65</v>
      </c>
      <c r="B19" s="93">
        <v>64</v>
      </c>
      <c r="C19" s="50"/>
      <c r="D19" s="50"/>
      <c r="E19" s="50"/>
      <c r="F19" s="50"/>
      <c r="G19" s="50"/>
      <c r="H19" s="50"/>
      <c r="I19" s="50"/>
      <c r="J19" s="50"/>
    </row>
    <row r="20" spans="1:10" ht="12.75" customHeight="1" x14ac:dyDescent="0.25">
      <c r="A20" s="61" t="s">
        <v>66</v>
      </c>
      <c r="B20" s="93">
        <v>80</v>
      </c>
      <c r="C20" s="50"/>
      <c r="D20" s="50"/>
      <c r="E20" s="50"/>
      <c r="F20" s="50"/>
      <c r="G20" s="50"/>
      <c r="H20" s="50"/>
      <c r="I20" s="50"/>
      <c r="J20" s="50"/>
    </row>
    <row r="21" spans="1:10" ht="12.75" customHeight="1" x14ac:dyDescent="0.25">
      <c r="A21" s="61" t="s">
        <v>67</v>
      </c>
      <c r="B21" s="93">
        <v>98</v>
      </c>
      <c r="C21" s="50"/>
      <c r="D21" s="50"/>
      <c r="E21" s="50"/>
      <c r="F21" s="50"/>
      <c r="G21" s="50"/>
      <c r="H21" s="50"/>
      <c r="I21" s="50"/>
      <c r="J21" s="50"/>
    </row>
    <row r="22" spans="1:10" ht="12.75" customHeight="1" x14ac:dyDescent="0.25">
      <c r="A22" s="61" t="s">
        <v>60</v>
      </c>
      <c r="B22" s="73">
        <v>1</v>
      </c>
    </row>
    <row r="23" spans="1:10" ht="12.75" customHeight="1" x14ac:dyDescent="0.25">
      <c r="A23" s="61" t="s">
        <v>61</v>
      </c>
      <c r="B23" s="73">
        <v>25</v>
      </c>
    </row>
    <row r="24" spans="1:10" ht="12.75" customHeight="1" thickBot="1" x14ac:dyDescent="0.3">
      <c r="A24" s="65" t="s">
        <v>62</v>
      </c>
      <c r="B24" s="74">
        <v>298</v>
      </c>
    </row>
    <row r="25" spans="1:10" ht="12.75" customHeight="1" x14ac:dyDescent="0.25">
      <c r="A25" s="490" t="s">
        <v>319</v>
      </c>
      <c r="B25" s="491"/>
      <c r="C25" s="50"/>
      <c r="D25" s="50"/>
      <c r="E25" s="50"/>
      <c r="F25" s="50"/>
      <c r="G25" s="50"/>
      <c r="H25" s="50"/>
      <c r="I25" s="50"/>
      <c r="J25" s="50"/>
    </row>
    <row r="26" spans="1:10" ht="12.75" customHeight="1" thickBot="1" x14ac:dyDescent="0.3">
      <c r="A26" s="304"/>
      <c r="B26" s="310" t="s">
        <v>316</v>
      </c>
      <c r="C26" s="50"/>
      <c r="D26" s="50"/>
      <c r="E26" s="50"/>
      <c r="F26" s="50"/>
      <c r="G26" s="50"/>
      <c r="H26" s="50"/>
      <c r="I26" s="50"/>
      <c r="J26" s="50"/>
    </row>
    <row r="27" spans="1:10" ht="12.75" customHeight="1" x14ac:dyDescent="0.25">
      <c r="A27" s="305" t="s">
        <v>150</v>
      </c>
      <c r="B27" s="443">
        <v>2.2046199999999998</v>
      </c>
    </row>
    <row r="28" spans="1:10" ht="12.75" customHeight="1" x14ac:dyDescent="0.25">
      <c r="A28" s="306" t="s">
        <v>151</v>
      </c>
      <c r="B28" s="307">
        <v>53.06</v>
      </c>
      <c r="E28" s="581"/>
    </row>
    <row r="29" spans="1:10" ht="12.75" customHeight="1" x14ac:dyDescent="0.25">
      <c r="A29" s="306" t="s">
        <v>152</v>
      </c>
      <c r="B29" s="307">
        <f>B28*B27</f>
        <v>116.9771372</v>
      </c>
      <c r="E29" s="582"/>
    </row>
    <row r="30" spans="1:10" ht="12.75" customHeight="1" x14ac:dyDescent="0.25">
      <c r="A30" s="306" t="s">
        <v>153</v>
      </c>
      <c r="B30" s="308">
        <v>1E-3</v>
      </c>
    </row>
    <row r="31" spans="1:10" ht="12.75" customHeight="1" x14ac:dyDescent="0.25">
      <c r="A31" s="306" t="s">
        <v>154</v>
      </c>
      <c r="B31" s="308">
        <f>B30*B27</f>
        <v>2.20462E-3</v>
      </c>
    </row>
    <row r="32" spans="1:10" ht="12.75" customHeight="1" x14ac:dyDescent="0.25">
      <c r="A32" s="306" t="s">
        <v>155</v>
      </c>
      <c r="B32" s="308">
        <v>1E-4</v>
      </c>
    </row>
    <row r="33" spans="1:10" ht="12.75" customHeight="1" thickBot="1" x14ac:dyDescent="0.3">
      <c r="A33" s="304" t="s">
        <v>156</v>
      </c>
      <c r="B33" s="309">
        <f>B32*B27</f>
        <v>2.2046199999999999E-4</v>
      </c>
    </row>
    <row r="34" spans="1:10" ht="16.5" thickBot="1" x14ac:dyDescent="0.3">
      <c r="A34" s="78"/>
      <c r="B34" s="79"/>
      <c r="C34" s="48"/>
      <c r="D34" s="48"/>
    </row>
    <row r="35" spans="1:10" ht="31.5" thickBot="1" x14ac:dyDescent="0.35">
      <c r="A35" s="76" t="s">
        <v>2</v>
      </c>
      <c r="B35" s="69" t="s">
        <v>141</v>
      </c>
      <c r="C35" s="69" t="s">
        <v>123</v>
      </c>
      <c r="D35" s="70" t="s">
        <v>88</v>
      </c>
      <c r="E35" s="69" t="s">
        <v>407</v>
      </c>
      <c r="F35" s="70" t="s">
        <v>408</v>
      </c>
      <c r="H35" s="51"/>
      <c r="I35" s="51"/>
    </row>
    <row r="36" spans="1:10" ht="14.25" customHeight="1" x14ac:dyDescent="0.25">
      <c r="A36" s="77" t="s">
        <v>1</v>
      </c>
      <c r="B36" s="583">
        <v>7.0000000000000001E-3</v>
      </c>
      <c r="C36" s="75">
        <f t="shared" ref="C36:C45" si="0">B36*$B$6</f>
        <v>3.8290412100100042E-2</v>
      </c>
      <c r="D36" s="95">
        <f>(C36/2000)*$B$12</f>
        <v>0.16771200499843819</v>
      </c>
      <c r="E36" s="75">
        <f>C36*$B$80*1000/60</f>
        <v>289.47041008847629</v>
      </c>
      <c r="F36" s="95">
        <f>E36/('Stack Parameters'!$D$18*(0.3048^3))</f>
        <v>10.506218970202637</v>
      </c>
      <c r="H36" s="51"/>
      <c r="I36" s="51"/>
    </row>
    <row r="37" spans="1:10" ht="14.25" customHeight="1" x14ac:dyDescent="0.25">
      <c r="A37" s="61" t="s">
        <v>0</v>
      </c>
      <c r="B37" s="584">
        <v>3.5999999999999997E-2</v>
      </c>
      <c r="C37" s="56">
        <f t="shared" si="0"/>
        <v>0.19692211937194307</v>
      </c>
      <c r="D37" s="94">
        <f t="shared" ref="D37:D45" si="1">(C37/2000)*$B$12</f>
        <v>0.8625188828491106</v>
      </c>
      <c r="E37" s="56">
        <f t="shared" ref="E37:E47" si="2">C37*$B$80*1000/60</f>
        <v>1488.7049661693065</v>
      </c>
      <c r="F37" s="94">
        <f>E37/('Stack Parameters'!$D$9*(0.3048^3))</f>
        <v>3.7969897246059512</v>
      </c>
      <c r="H37" s="426"/>
      <c r="I37" s="426"/>
      <c r="J37" s="427"/>
    </row>
    <row r="38" spans="1:10" ht="14.25" customHeight="1" x14ac:dyDescent="0.25">
      <c r="A38" s="61" t="s">
        <v>3</v>
      </c>
      <c r="B38" s="584">
        <f>0.1944/5</f>
        <v>3.8879999999999998E-2</v>
      </c>
      <c r="C38" s="56">
        <f t="shared" si="0"/>
        <v>0.21267588892169853</v>
      </c>
      <c r="D38" s="94">
        <f t="shared" si="1"/>
        <v>0.93152039347703952</v>
      </c>
      <c r="E38" s="56">
        <f t="shared" si="2"/>
        <v>1607.8013634628512</v>
      </c>
      <c r="F38" s="94">
        <f>E38/('Stack Parameters'!$D$9*(0.3048^3))</f>
        <v>4.1007489025744279</v>
      </c>
      <c r="H38" s="51"/>
      <c r="I38" s="51"/>
    </row>
    <row r="39" spans="1:10" ht="14.25" customHeight="1" x14ac:dyDescent="0.3">
      <c r="A39" s="80" t="s">
        <v>130</v>
      </c>
      <c r="B39" s="585">
        <f>(1*1000000)/B5*(B14/100)/B15*(B19/B18)</f>
        <v>1.1095700416088765E-3</v>
      </c>
      <c r="C39" s="56">
        <f>B39*$B$6</f>
        <v>6.0694134495898619E-3</v>
      </c>
      <c r="D39" s="94">
        <f>(C39/2000)*$B$12</f>
        <v>2.6584030909203596E-2</v>
      </c>
      <c r="E39" s="56">
        <f t="shared" si="2"/>
        <v>45.883956423772737</v>
      </c>
      <c r="F39" s="94">
        <f>E39/('Stack Parameters'!$D$9*(0.3048^3))</f>
        <v>0.11702850129776395</v>
      </c>
      <c r="H39" s="51"/>
      <c r="I39" s="51"/>
    </row>
    <row r="40" spans="1:10" ht="14.25" customHeight="1" x14ac:dyDescent="0.3">
      <c r="A40" s="586" t="s">
        <v>507</v>
      </c>
      <c r="B40" s="587">
        <v>7.7741407528641596E-3</v>
      </c>
      <c r="C40" s="56">
        <f t="shared" si="0"/>
        <v>4.2525007593050099E-2</v>
      </c>
      <c r="D40" s="94">
        <f t="shared" si="1"/>
        <v>0.18625953325755945</v>
      </c>
      <c r="E40" s="56">
        <f t="shared" si="2"/>
        <v>321.48338740244634</v>
      </c>
      <c r="F40" s="94">
        <f>E40/('Stack Parameters'!$D$9*(0.3048^3))</f>
        <v>0.81995368211848874</v>
      </c>
      <c r="H40" s="51"/>
      <c r="I40" s="51"/>
    </row>
    <row r="41" spans="1:10" ht="14.25" customHeight="1" x14ac:dyDescent="0.25">
      <c r="A41" s="61" t="s">
        <v>40</v>
      </c>
      <c r="B41" s="58">
        <f>0.0005/B5</f>
        <v>4.8543689320388352E-7</v>
      </c>
      <c r="C41" s="59">
        <f t="shared" si="0"/>
        <v>2.6553683841955648E-6</v>
      </c>
      <c r="D41" s="55">
        <f t="shared" si="1"/>
        <v>1.1630513522776574E-5</v>
      </c>
      <c r="E41" s="59">
        <f t="shared" si="2"/>
        <v>2.0074230935400575E-2</v>
      </c>
      <c r="F41" s="55">
        <f>E41/('Stack Parameters'!$D$9*(0.3048^3))</f>
        <v>5.1199969317771728E-5</v>
      </c>
      <c r="H41" s="51"/>
      <c r="I41" s="51"/>
    </row>
    <row r="42" spans="1:10" ht="14.25" customHeight="1" x14ac:dyDescent="0.3">
      <c r="A42" s="61" t="s">
        <v>131</v>
      </c>
      <c r="B42" s="58">
        <f>$B$39*B16*$B$21/$B$19</f>
        <v>1.6990291262135922E-4</v>
      </c>
      <c r="C42" s="59">
        <f>B42*$B$6</f>
        <v>9.2937893446844763E-4</v>
      </c>
      <c r="D42" s="55">
        <f t="shared" si="1"/>
        <v>4.0706797329718002E-3</v>
      </c>
      <c r="E42" s="59">
        <f t="shared" si="2"/>
        <v>7.0259808273902005</v>
      </c>
      <c r="F42" s="55">
        <f>E42/('Stack Parameters'!$D$9*(0.3048^3))</f>
        <v>1.7919989261220102E-2</v>
      </c>
      <c r="H42" s="51"/>
      <c r="I42" s="51"/>
    </row>
    <row r="43" spans="1:10" ht="14.25" customHeight="1" x14ac:dyDescent="0.3">
      <c r="A43" s="80" t="s">
        <v>132</v>
      </c>
      <c r="B43" s="56">
        <f>(B29*$B$13)</f>
        <v>116.9771372</v>
      </c>
      <c r="C43" s="63">
        <f t="shared" si="0"/>
        <v>639.87182709684896</v>
      </c>
      <c r="D43" s="64">
        <f t="shared" si="1"/>
        <v>2802.6386026841983</v>
      </c>
      <c r="E43" s="63">
        <f t="shared" si="2"/>
        <v>4837345.6966085648</v>
      </c>
      <c r="F43" s="64">
        <f>E43/('Stack Parameters'!$D$9*(0.3048^3))</f>
        <v>12337.805221172794</v>
      </c>
      <c r="H43" s="51"/>
      <c r="I43" s="51"/>
    </row>
    <row r="44" spans="1:10" ht="14.25" customHeight="1" x14ac:dyDescent="0.3">
      <c r="A44" s="80" t="s">
        <v>133</v>
      </c>
      <c r="B44" s="59">
        <f>(B31*$B$13)</f>
        <v>2.20462E-3</v>
      </c>
      <c r="C44" s="56">
        <f t="shared" si="0"/>
        <v>1.2059401189160365E-2</v>
      </c>
      <c r="D44" s="94">
        <f t="shared" si="1"/>
        <v>5.2820177208522397E-2</v>
      </c>
      <c r="E44" s="56">
        <f t="shared" si="2"/>
        <v>91.167465069893808</v>
      </c>
      <c r="F44" s="94">
        <f>E44/('Stack Parameters'!$D$9*(0.3048^3))</f>
        <v>0.23252554129613259</v>
      </c>
      <c r="H44" s="51"/>
      <c r="I44" s="51"/>
    </row>
    <row r="45" spans="1:10" ht="14.25" customHeight="1" x14ac:dyDescent="0.3">
      <c r="A45" s="80" t="s">
        <v>134</v>
      </c>
      <c r="B45" s="59">
        <f>(B33*$B$13)</f>
        <v>2.2046199999999999E-4</v>
      </c>
      <c r="C45" s="56">
        <f t="shared" si="0"/>
        <v>1.2059401189160365E-3</v>
      </c>
      <c r="D45" s="57">
        <f t="shared" si="1"/>
        <v>5.2820177208522398E-3</v>
      </c>
      <c r="E45" s="56">
        <f t="shared" si="2"/>
        <v>9.1167465069893794</v>
      </c>
      <c r="F45" s="57">
        <f>E45/('Stack Parameters'!$D$9*(0.3048^3))</f>
        <v>2.3252554129613256E-2</v>
      </c>
      <c r="H45" s="51"/>
      <c r="I45" s="51"/>
    </row>
    <row r="46" spans="1:10" ht="14.25" customHeight="1" x14ac:dyDescent="0.25">
      <c r="A46" s="61" t="s">
        <v>139</v>
      </c>
      <c r="B46" s="62" t="s">
        <v>52</v>
      </c>
      <c r="C46" s="63">
        <f>SUM(C43:C45)</f>
        <v>639.88509243815702</v>
      </c>
      <c r="D46" s="64">
        <f>SUM(D43:D45)</f>
        <v>2802.6967048791275</v>
      </c>
      <c r="E46" s="63">
        <f t="shared" si="2"/>
        <v>4837445.9808201427</v>
      </c>
      <c r="F46" s="64">
        <f>E46/('Stack Parameters'!$D$9*(0.3048^3))</f>
        <v>12338.060999268222</v>
      </c>
      <c r="H46" s="51"/>
      <c r="I46" s="51"/>
    </row>
    <row r="47" spans="1:10" ht="14.25" customHeight="1" thickBot="1" x14ac:dyDescent="0.35">
      <c r="A47" s="65" t="s">
        <v>140</v>
      </c>
      <c r="B47" s="66" t="s">
        <v>52</v>
      </c>
      <c r="C47" s="67">
        <f>SUM(C43*$B$22,C44*$B$23,C45*$B$24)</f>
        <v>640.532682282015</v>
      </c>
      <c r="D47" s="68">
        <f>SUM(D43*$B$22,D44*$B$23,D45*$B$24)</f>
        <v>2805.5331483952255</v>
      </c>
      <c r="E47" s="67">
        <f t="shared" si="2"/>
        <v>4842341.6736943964</v>
      </c>
      <c r="F47" s="68">
        <f>E47/('Stack Parameters'!$D$9*(0.3048^3))</f>
        <v>12350.547620835825</v>
      </c>
      <c r="H47" s="51"/>
      <c r="I47" s="51"/>
    </row>
    <row r="48" spans="1:10" x14ac:dyDescent="0.25">
      <c r="A48" s="52"/>
      <c r="B48" s="53"/>
      <c r="C48" s="53"/>
      <c r="D48" s="53"/>
      <c r="H48" s="51"/>
      <c r="I48" s="51"/>
    </row>
    <row r="49" spans="1:12" ht="15.75" x14ac:dyDescent="0.25">
      <c r="A49" s="49" t="s">
        <v>172</v>
      </c>
      <c r="C49" s="50"/>
      <c r="D49" s="50"/>
      <c r="E49" s="50"/>
      <c r="F49" s="50"/>
      <c r="G49" s="50"/>
      <c r="H49" s="50"/>
      <c r="I49" s="50"/>
      <c r="J49" s="50"/>
    </row>
    <row r="50" spans="1:12" ht="15.75" x14ac:dyDescent="0.25">
      <c r="A50" s="54" t="s">
        <v>135</v>
      </c>
      <c r="C50" s="50"/>
      <c r="D50" s="50"/>
      <c r="E50" s="50"/>
      <c r="F50" s="50"/>
      <c r="G50" s="50"/>
      <c r="H50" s="50"/>
      <c r="I50" s="50"/>
      <c r="J50" s="50"/>
    </row>
    <row r="51" spans="1:12" s="163" customFormat="1" ht="16.5" x14ac:dyDescent="0.3">
      <c r="A51" s="49" t="s">
        <v>436</v>
      </c>
      <c r="C51" s="52"/>
      <c r="D51" s="52"/>
      <c r="E51" s="52"/>
      <c r="F51" s="52"/>
      <c r="G51" s="52"/>
      <c r="H51" s="52"/>
      <c r="I51" s="52"/>
      <c r="J51" s="52"/>
    </row>
    <row r="52" spans="1:12" ht="64.5" customHeight="1" x14ac:dyDescent="0.3">
      <c r="A52" s="635" t="s">
        <v>281</v>
      </c>
      <c r="B52" s="635"/>
      <c r="C52" s="635"/>
      <c r="D52" s="635"/>
      <c r="E52" s="50"/>
      <c r="F52" s="50"/>
      <c r="G52" s="50"/>
      <c r="H52" s="50"/>
      <c r="I52" s="50"/>
      <c r="J52" s="50"/>
    </row>
    <row r="53" spans="1:12" ht="45" customHeight="1" x14ac:dyDescent="0.25">
      <c r="A53" s="620" t="s">
        <v>320</v>
      </c>
      <c r="B53" s="620"/>
      <c r="C53" s="620"/>
      <c r="D53" s="620"/>
      <c r="E53" s="132"/>
      <c r="F53" s="132"/>
      <c r="G53" s="132"/>
      <c r="H53" s="130"/>
      <c r="I53" s="130"/>
      <c r="J53" s="130"/>
      <c r="K53" s="130"/>
      <c r="L53" s="130"/>
    </row>
    <row r="54" spans="1:12" ht="18.75" customHeight="1" x14ac:dyDescent="0.25">
      <c r="A54" s="162" t="s">
        <v>137</v>
      </c>
      <c r="B54" s="162"/>
      <c r="C54" s="162"/>
      <c r="D54" s="162"/>
      <c r="E54" s="162"/>
      <c r="F54" s="162"/>
      <c r="G54" s="162"/>
    </row>
    <row r="55" spans="1:12" ht="40.5" customHeight="1" x14ac:dyDescent="0.25">
      <c r="A55" s="614" t="s">
        <v>136</v>
      </c>
      <c r="B55" s="614"/>
      <c r="C55" s="614"/>
      <c r="D55" s="614"/>
      <c r="E55" s="133"/>
      <c r="F55" s="133"/>
      <c r="G55" s="133"/>
    </row>
    <row r="56" spans="1:12" s="131" customFormat="1" ht="26.25" customHeight="1" x14ac:dyDescent="0.2">
      <c r="A56" s="614" t="s">
        <v>138</v>
      </c>
      <c r="B56" s="614"/>
      <c r="C56" s="614"/>
      <c r="D56" s="614"/>
      <c r="E56" s="133"/>
      <c r="F56" s="133"/>
      <c r="G56" s="133"/>
    </row>
    <row r="57" spans="1:12" x14ac:dyDescent="0.25">
      <c r="A57" s="50"/>
      <c r="B57" s="50"/>
      <c r="C57" s="50"/>
      <c r="D57" s="50"/>
      <c r="E57" s="50"/>
      <c r="F57" s="50"/>
      <c r="G57" s="50"/>
      <c r="H57" s="50"/>
      <c r="I57" s="50"/>
      <c r="J57" s="50"/>
    </row>
    <row r="58" spans="1:12" ht="15" thickBot="1" x14ac:dyDescent="0.35">
      <c r="A58" s="168" t="s">
        <v>13</v>
      </c>
      <c r="B58" s="50"/>
      <c r="C58" s="50"/>
      <c r="D58" s="50"/>
      <c r="E58" s="50"/>
      <c r="F58" s="50"/>
      <c r="G58" s="50"/>
      <c r="H58" s="50"/>
      <c r="I58" s="50"/>
      <c r="J58" s="50"/>
    </row>
    <row r="59" spans="1:12" ht="30.75" thickBot="1" x14ac:dyDescent="0.35">
      <c r="A59" s="208" t="s">
        <v>2</v>
      </c>
      <c r="B59" s="99" t="s">
        <v>185</v>
      </c>
      <c r="C59" s="99" t="s">
        <v>4</v>
      </c>
      <c r="D59" s="100" t="s">
        <v>88</v>
      </c>
      <c r="E59" s="69" t="s">
        <v>413</v>
      </c>
      <c r="F59" s="70" t="s">
        <v>414</v>
      </c>
      <c r="G59" s="50"/>
      <c r="H59" s="50"/>
      <c r="I59" s="50"/>
      <c r="J59" s="50"/>
    </row>
    <row r="60" spans="1:12" ht="12" customHeight="1" x14ac:dyDescent="0.25">
      <c r="A60" s="101" t="s">
        <v>252</v>
      </c>
      <c r="B60" s="102">
        <v>2.4000000000000001E-5</v>
      </c>
      <c r="C60" s="103">
        <f>B60*$B$9</f>
        <v>1.2745768244138714E-7</v>
      </c>
      <c r="D60" s="104">
        <f>(C60/2000)*$B$12</f>
        <v>5.5826464909327559E-7</v>
      </c>
      <c r="E60" s="103">
        <f>C60*$B$80*1000/60</f>
        <v>9.635630848992278E-4</v>
      </c>
      <c r="F60" s="104">
        <f>E60/('Stack Parameters'!$D$18*(0.3048^3))</f>
        <v>3.4972157459759136E-5</v>
      </c>
      <c r="G60" s="50"/>
      <c r="H60" s="50"/>
      <c r="I60" s="50"/>
      <c r="J60" s="50"/>
    </row>
    <row r="61" spans="1:12" ht="12" customHeight="1" x14ac:dyDescent="0.25">
      <c r="A61" s="105" t="s">
        <v>69</v>
      </c>
      <c r="B61" s="106">
        <v>2.0000000000000001E-4</v>
      </c>
      <c r="C61" s="107">
        <f t="shared" ref="C61:C77" si="3">B61*$B$9</f>
        <v>1.0621473536782262E-6</v>
      </c>
      <c r="D61" s="108">
        <f t="shared" ref="D61:D77" si="4">(C61/2000)*$B$12</f>
        <v>4.6522054091106307E-6</v>
      </c>
      <c r="E61" s="107">
        <f t="shared" ref="E61:E77" si="5">C61*$B$80*1000/60</f>
        <v>8.029692374160232E-3</v>
      </c>
      <c r="F61" s="108">
        <f>E61/('Stack Parameters'!$D$18*(0.3048^3))</f>
        <v>2.9143464549799281E-4</v>
      </c>
      <c r="G61" s="50"/>
      <c r="H61" s="50"/>
      <c r="I61" s="50"/>
      <c r="J61" s="50"/>
    </row>
    <row r="62" spans="1:12" ht="12" customHeight="1" x14ac:dyDescent="0.25">
      <c r="A62" s="105" t="s">
        <v>16</v>
      </c>
      <c r="B62" s="106">
        <v>2.0999999999999999E-3</v>
      </c>
      <c r="C62" s="107">
        <f t="shared" si="3"/>
        <v>1.1152547213621373E-5</v>
      </c>
      <c r="D62" s="108">
        <f t="shared" si="4"/>
        <v>4.8848156795661609E-5</v>
      </c>
      <c r="E62" s="107">
        <f t="shared" si="5"/>
        <v>8.4311769928682417E-2</v>
      </c>
      <c r="F62" s="108">
        <f>E62/('Stack Parameters'!$D$18*(0.3048^3))</f>
        <v>3.0600637777289238E-3</v>
      </c>
      <c r="G62" s="50"/>
      <c r="H62" s="50"/>
      <c r="I62" s="50"/>
      <c r="J62" s="50"/>
    </row>
    <row r="63" spans="1:12" ht="12" customHeight="1" x14ac:dyDescent="0.25">
      <c r="A63" s="233" t="s">
        <v>194</v>
      </c>
      <c r="B63" s="106">
        <v>1.1000000000000001E-3</v>
      </c>
      <c r="C63" s="107">
        <f t="shared" si="3"/>
        <v>5.8418104452302433E-6</v>
      </c>
      <c r="D63" s="108">
        <f t="shared" si="4"/>
        <v>2.5587129750108468E-5</v>
      </c>
      <c r="E63" s="107">
        <f t="shared" si="5"/>
        <v>4.4163308057881275E-2</v>
      </c>
      <c r="F63" s="108">
        <f>E63/('Stack Parameters'!$D$18*(0.3048^3))</f>
        <v>1.6028905502389603E-3</v>
      </c>
      <c r="G63" s="50"/>
      <c r="H63" s="50"/>
      <c r="I63" s="50"/>
      <c r="J63" s="50"/>
    </row>
    <row r="64" spans="1:12" ht="12" customHeight="1" x14ac:dyDescent="0.25">
      <c r="A64" s="105" t="s">
        <v>70</v>
      </c>
      <c r="B64" s="106">
        <v>1.4E-3</v>
      </c>
      <c r="C64" s="107">
        <f t="shared" si="3"/>
        <v>7.4350314757475819E-6</v>
      </c>
      <c r="D64" s="108">
        <f t="shared" si="4"/>
        <v>3.2565437863774411E-5</v>
      </c>
      <c r="E64" s="107">
        <f t="shared" si="5"/>
        <v>5.6207846619121621E-2</v>
      </c>
      <c r="F64" s="108">
        <f>E64/('Stack Parameters'!$D$18*(0.3048^3))</f>
        <v>2.0400425184859496E-3</v>
      </c>
      <c r="G64" s="50"/>
      <c r="H64" s="50"/>
      <c r="I64" s="50"/>
      <c r="J64" s="50"/>
    </row>
    <row r="65" spans="1:10" ht="12" customHeight="1" x14ac:dyDescent="0.25">
      <c r="A65" s="105" t="s">
        <v>71</v>
      </c>
      <c r="B65" s="106">
        <v>8.3999999999999995E-5</v>
      </c>
      <c r="C65" s="107">
        <f t="shared" si="3"/>
        <v>4.4610188854485492E-7</v>
      </c>
      <c r="D65" s="108">
        <f t="shared" si="4"/>
        <v>1.9539262718264646E-6</v>
      </c>
      <c r="E65" s="107">
        <f t="shared" si="5"/>
        <v>3.3724707971472972E-3</v>
      </c>
      <c r="F65" s="108">
        <f>E65/('Stack Parameters'!$D$18*(0.3048^3))</f>
        <v>1.2240255110915698E-4</v>
      </c>
      <c r="G65" s="50"/>
      <c r="H65" s="50"/>
      <c r="I65" s="50"/>
      <c r="J65" s="50"/>
    </row>
    <row r="66" spans="1:10" ht="12" customHeight="1" x14ac:dyDescent="0.25">
      <c r="A66" s="105" t="s">
        <v>27</v>
      </c>
      <c r="B66" s="106">
        <v>1.1999999999999999E-3</v>
      </c>
      <c r="C66" s="107">
        <f t="shared" si="3"/>
        <v>6.3728841220693553E-6</v>
      </c>
      <c r="D66" s="108">
        <f t="shared" si="4"/>
        <v>2.7913232454663776E-5</v>
      </c>
      <c r="E66" s="107">
        <f t="shared" si="5"/>
        <v>4.8178154244961378E-2</v>
      </c>
      <c r="F66" s="108">
        <f>E66/('Stack Parameters'!$D$18*(0.3048^3))</f>
        <v>1.7486078729879563E-3</v>
      </c>
      <c r="G66" s="50"/>
      <c r="H66" s="50"/>
      <c r="I66" s="50"/>
      <c r="J66" s="50"/>
    </row>
    <row r="67" spans="1:10" ht="12" customHeight="1" x14ac:dyDescent="0.25">
      <c r="A67" s="105" t="s">
        <v>72</v>
      </c>
      <c r="B67" s="106">
        <v>3.0000000000000001E-6</v>
      </c>
      <c r="C67" s="107">
        <f t="shared" si="3"/>
        <v>1.5932210305173392E-8</v>
      </c>
      <c r="D67" s="108">
        <f t="shared" si="4"/>
        <v>6.9783081136659448E-8</v>
      </c>
      <c r="E67" s="107">
        <f t="shared" si="5"/>
        <v>1.2044538561240348E-4</v>
      </c>
      <c r="F67" s="108">
        <f>E67/('Stack Parameters'!$D$18*(0.3048^3))</f>
        <v>4.371519682469892E-6</v>
      </c>
      <c r="G67" s="50"/>
      <c r="H67" s="50"/>
      <c r="I67" s="50"/>
      <c r="J67" s="50"/>
    </row>
    <row r="68" spans="1:10" ht="12" customHeight="1" x14ac:dyDescent="0.25">
      <c r="A68" s="105" t="s">
        <v>73</v>
      </c>
      <c r="B68" s="106">
        <v>2.7999999999999999E-6</v>
      </c>
      <c r="C68" s="107">
        <f t="shared" si="3"/>
        <v>1.4870062951495163E-8</v>
      </c>
      <c r="D68" s="108">
        <f t="shared" si="4"/>
        <v>6.5130875727548811E-8</v>
      </c>
      <c r="E68" s="107">
        <f t="shared" si="5"/>
        <v>1.1241569323824325E-4</v>
      </c>
      <c r="F68" s="108">
        <f>E68/('Stack Parameters'!$D$18*(0.3048^3))</f>
        <v>4.0800850369718988E-6</v>
      </c>
    </row>
    <row r="69" spans="1:10" ht="12" customHeight="1" x14ac:dyDescent="0.25">
      <c r="A69" s="105" t="s">
        <v>17</v>
      </c>
      <c r="B69" s="106">
        <v>7.4999999999999997E-2</v>
      </c>
      <c r="C69" s="107">
        <f t="shared" si="3"/>
        <v>3.9830525762933475E-4</v>
      </c>
      <c r="D69" s="108">
        <f t="shared" si="4"/>
        <v>1.7445770284164862E-3</v>
      </c>
      <c r="E69" s="107">
        <f t="shared" si="5"/>
        <v>3.0111346403100869</v>
      </c>
      <c r="F69" s="108">
        <f>E69/('Stack Parameters'!$D$18*(0.3048^3))</f>
        <v>0.1092879920617473</v>
      </c>
    </row>
    <row r="70" spans="1:10" ht="12" customHeight="1" x14ac:dyDescent="0.25">
      <c r="A70" s="105" t="s">
        <v>29</v>
      </c>
      <c r="B70" s="106">
        <v>1.8</v>
      </c>
      <c r="C70" s="107">
        <f t="shared" si="3"/>
        <v>9.5593261831040353E-3</v>
      </c>
      <c r="D70" s="108">
        <f t="shared" si="4"/>
        <v>4.1869848681995676E-2</v>
      </c>
      <c r="E70" s="107">
        <f t="shared" si="5"/>
        <v>72.267231367442079</v>
      </c>
      <c r="F70" s="108">
        <f>E70/('Stack Parameters'!$D$18*(0.3048^3))</f>
        <v>2.622911809481935</v>
      </c>
    </row>
    <row r="71" spans="1:10" ht="12" customHeight="1" x14ac:dyDescent="0.25">
      <c r="A71" s="105" t="s">
        <v>74</v>
      </c>
      <c r="B71" s="106">
        <v>3.8000000000000002E-4</v>
      </c>
      <c r="C71" s="107">
        <f t="shared" si="3"/>
        <v>2.0180799719886294E-6</v>
      </c>
      <c r="D71" s="108">
        <f t="shared" si="4"/>
        <v>8.8391902773101955E-6</v>
      </c>
      <c r="E71" s="107">
        <f t="shared" si="5"/>
        <v>1.5256415510904437E-2</v>
      </c>
      <c r="F71" s="108">
        <f>E71/('Stack Parameters'!$D$18*(0.3048^3))</f>
        <v>5.5372582644618625E-4</v>
      </c>
    </row>
    <row r="72" spans="1:10" ht="12" customHeight="1" x14ac:dyDescent="0.25">
      <c r="A72" s="105" t="s">
        <v>75</v>
      </c>
      <c r="B72" s="106">
        <v>2.5999999999999998E-4</v>
      </c>
      <c r="C72" s="107">
        <f t="shared" si="3"/>
        <v>1.3807915597816936E-6</v>
      </c>
      <c r="D72" s="108">
        <f t="shared" si="4"/>
        <v>6.0478670318438181E-6</v>
      </c>
      <c r="E72" s="107">
        <f t="shared" si="5"/>
        <v>1.0438600086408298E-2</v>
      </c>
      <c r="F72" s="108">
        <f>E72/('Stack Parameters'!$D$18*(0.3048^3))</f>
        <v>3.788650391473905E-4</v>
      </c>
    </row>
    <row r="73" spans="1:10" ht="12" customHeight="1" x14ac:dyDescent="0.25">
      <c r="A73" s="109" t="s">
        <v>18</v>
      </c>
      <c r="B73" s="106">
        <v>6.0999999999999997E-4</v>
      </c>
      <c r="C73" s="107">
        <f t="shared" si="3"/>
        <v>3.2395494287185891E-6</v>
      </c>
      <c r="D73" s="108">
        <f t="shared" si="4"/>
        <v>1.418922649778742E-5</v>
      </c>
      <c r="E73" s="107">
        <f t="shared" si="5"/>
        <v>2.4490561741188702E-2</v>
      </c>
      <c r="F73" s="108">
        <f>E73/('Stack Parameters'!$D$18*(0.3048^3))</f>
        <v>8.8887566876887786E-4</v>
      </c>
    </row>
    <row r="74" spans="1:10" ht="12" customHeight="1" x14ac:dyDescent="0.25">
      <c r="A74" s="109" t="s">
        <v>76</v>
      </c>
      <c r="B74" s="106">
        <v>2.0999999999999999E-3</v>
      </c>
      <c r="C74" s="107">
        <f t="shared" si="3"/>
        <v>1.1152547213621373E-5</v>
      </c>
      <c r="D74" s="108">
        <f t="shared" si="4"/>
        <v>4.8848156795661609E-5</v>
      </c>
      <c r="E74" s="107">
        <f t="shared" si="5"/>
        <v>8.4311769928682417E-2</v>
      </c>
      <c r="F74" s="108">
        <f>E74/('Stack Parameters'!$D$18*(0.3048^3))</f>
        <v>3.0600637777289238E-3</v>
      </c>
    </row>
    <row r="75" spans="1:10" ht="12" customHeight="1" x14ac:dyDescent="0.25">
      <c r="A75" s="109" t="s">
        <v>77</v>
      </c>
      <c r="B75" s="106">
        <v>1.7E-5</v>
      </c>
      <c r="C75" s="107">
        <f t="shared" si="3"/>
        <v>9.0282525062649216E-8</v>
      </c>
      <c r="D75" s="108">
        <f t="shared" si="4"/>
        <v>3.9543745977440357E-7</v>
      </c>
      <c r="E75" s="107">
        <f t="shared" si="5"/>
        <v>6.825238518036197E-4</v>
      </c>
      <c r="F75" s="108">
        <f>E75/('Stack Parameters'!$D$18*(0.3048^3))</f>
        <v>2.4771944867329388E-5</v>
      </c>
    </row>
    <row r="76" spans="1:10" ht="12" customHeight="1" x14ac:dyDescent="0.25">
      <c r="A76" s="110" t="s">
        <v>78</v>
      </c>
      <c r="B76" s="106">
        <v>5.0000000000000004E-6</v>
      </c>
      <c r="C76" s="107">
        <f t="shared" si="3"/>
        <v>2.6553683841955652E-8</v>
      </c>
      <c r="D76" s="108">
        <f t="shared" si="4"/>
        <v>1.1630513522776576E-7</v>
      </c>
      <c r="E76" s="107">
        <f t="shared" si="5"/>
        <v>2.007423093540058E-4</v>
      </c>
      <c r="F76" s="108">
        <f>E76/('Stack Parameters'!$D$18*(0.3048^3))</f>
        <v>7.2858661374498205E-6</v>
      </c>
    </row>
    <row r="77" spans="1:10" ht="12" customHeight="1" thickBot="1" x14ac:dyDescent="0.3">
      <c r="A77" s="111" t="s">
        <v>19</v>
      </c>
      <c r="B77" s="112">
        <v>3.3999999999999998E-3</v>
      </c>
      <c r="C77" s="113">
        <f t="shared" si="3"/>
        <v>1.8056505012529843E-5</v>
      </c>
      <c r="D77" s="114">
        <f t="shared" si="4"/>
        <v>7.9087491954880706E-5</v>
      </c>
      <c r="E77" s="113">
        <f t="shared" si="5"/>
        <v>0.13650477036072395</v>
      </c>
      <c r="F77" s="114">
        <f>E77/('Stack Parameters'!$D$18*(0.3048^3))</f>
        <v>4.9543889734658779E-3</v>
      </c>
    </row>
    <row r="78" spans="1:10" ht="15.75" customHeight="1" x14ac:dyDescent="0.25">
      <c r="A78" s="633" t="s">
        <v>258</v>
      </c>
      <c r="B78" s="633"/>
      <c r="C78" s="633"/>
      <c r="D78" s="633"/>
    </row>
    <row r="79" spans="1:10" x14ac:dyDescent="0.25">
      <c r="A79" s="634"/>
      <c r="B79" s="634"/>
      <c r="C79" s="634"/>
      <c r="D79" s="634"/>
    </row>
    <row r="80" spans="1:10" ht="15.75" x14ac:dyDescent="0.25">
      <c r="A80" s="411" t="s">
        <v>411</v>
      </c>
      <c r="B80" s="48">
        <f>453.592</f>
        <v>453.59199999999998</v>
      </c>
    </row>
    <row r="81" spans="1:2" ht="15.75" x14ac:dyDescent="0.25">
      <c r="A81" s="42" t="s">
        <v>412</v>
      </c>
      <c r="B81" s="412">
        <f>'Stack Parameters'!D18</f>
        <v>973</v>
      </c>
    </row>
  </sheetData>
  <mergeCells count="5">
    <mergeCell ref="A52:D52"/>
    <mergeCell ref="A53:D53"/>
    <mergeCell ref="A55:D55"/>
    <mergeCell ref="A78:D79"/>
    <mergeCell ref="A56:D56"/>
  </mergeCells>
  <pageMargins left="0.56000000000000005" right="0.36" top="0.26" bottom="0.15" header="0.28000000000000003" footer="0.09"/>
  <pageSetup scale="6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75"/>
  <sheetViews>
    <sheetView topLeftCell="A43" zoomScaleNormal="100" zoomScaleSheetLayoutView="90" workbookViewId="0">
      <selection activeCell="A57" sqref="A57"/>
    </sheetView>
  </sheetViews>
  <sheetFormatPr defaultColWidth="9.140625" defaultRowHeight="13.5" x14ac:dyDescent="0.25"/>
  <cols>
    <col min="1" max="1" width="40" style="44" customWidth="1"/>
    <col min="2" max="2" width="17.42578125" style="45" customWidth="1"/>
    <col min="3" max="3" width="15.7109375" style="44" customWidth="1"/>
    <col min="4" max="4" width="14.5703125" style="44" customWidth="1"/>
    <col min="5" max="5" width="15.7109375" style="44" customWidth="1"/>
    <col min="6" max="6" width="17.42578125" style="45" customWidth="1"/>
    <col min="7" max="7" width="18.5703125" style="44" customWidth="1"/>
    <col min="8" max="16384" width="9.140625" style="44"/>
  </cols>
  <sheetData>
    <row r="1" spans="1:6" ht="14.25" x14ac:dyDescent="0.3">
      <c r="A1" s="43" t="s">
        <v>419</v>
      </c>
    </row>
    <row r="2" spans="1:6" ht="14.25" x14ac:dyDescent="0.3">
      <c r="A2" s="492" t="s">
        <v>437</v>
      </c>
    </row>
    <row r="3" spans="1:6" ht="14.25" thickBot="1" x14ac:dyDescent="0.3"/>
    <row r="4" spans="1:6" ht="14.25" x14ac:dyDescent="0.3">
      <c r="A4" s="128" t="s">
        <v>8</v>
      </c>
      <c r="B4" s="129" t="s">
        <v>118</v>
      </c>
    </row>
    <row r="5" spans="1:6" x14ac:dyDescent="0.25">
      <c r="A5" s="164" t="s">
        <v>119</v>
      </c>
      <c r="B5" s="589">
        <v>140000</v>
      </c>
    </row>
    <row r="6" spans="1:6" x14ac:dyDescent="0.25">
      <c r="A6" s="165" t="s">
        <v>120</v>
      </c>
      <c r="B6" s="257">
        <v>1.5E-3</v>
      </c>
    </row>
    <row r="7" spans="1:6" x14ac:dyDescent="0.25">
      <c r="A7" s="165" t="s">
        <v>122</v>
      </c>
      <c r="B7" s="590">
        <v>2000</v>
      </c>
    </row>
    <row r="8" spans="1:6" x14ac:dyDescent="0.25">
      <c r="A8" s="165" t="s">
        <v>9</v>
      </c>
      <c r="B8" s="590">
        <f>B7*1.341</f>
        <v>2682</v>
      </c>
    </row>
    <row r="9" spans="1:6" x14ac:dyDescent="0.25">
      <c r="A9" s="165" t="s">
        <v>10</v>
      </c>
      <c r="B9" s="591">
        <v>138</v>
      </c>
    </row>
    <row r="10" spans="1:6" x14ac:dyDescent="0.25">
      <c r="A10" s="165" t="s">
        <v>11</v>
      </c>
      <c r="B10" s="258">
        <f>(B9*B5)/1000000</f>
        <v>19.32</v>
      </c>
    </row>
    <row r="11" spans="1:6" x14ac:dyDescent="0.25">
      <c r="A11" s="165" t="s">
        <v>92</v>
      </c>
      <c r="B11" s="591">
        <v>100</v>
      </c>
    </row>
    <row r="12" spans="1:6" x14ac:dyDescent="0.25">
      <c r="A12" s="61" t="s">
        <v>177</v>
      </c>
      <c r="B12" s="259">
        <v>2.8</v>
      </c>
    </row>
    <row r="13" spans="1:6" x14ac:dyDescent="0.25">
      <c r="A13" s="61" t="s">
        <v>178</v>
      </c>
      <c r="B13" s="260">
        <v>0.9</v>
      </c>
      <c r="C13" s="45"/>
      <c r="D13" s="176"/>
    </row>
    <row r="14" spans="1:6" x14ac:dyDescent="0.25">
      <c r="A14" s="61" t="s">
        <v>179</v>
      </c>
      <c r="B14" s="260">
        <v>0.1</v>
      </c>
      <c r="C14" s="45"/>
      <c r="D14" s="176"/>
    </row>
    <row r="15" spans="1:6" s="42" customFormat="1" ht="12.75" customHeight="1" x14ac:dyDescent="0.25">
      <c r="A15" s="147" t="s">
        <v>192</v>
      </c>
      <c r="B15" s="144">
        <v>0.1</v>
      </c>
      <c r="C15" s="48"/>
      <c r="D15" s="48"/>
      <c r="E15" s="48"/>
      <c r="F15" s="48"/>
    </row>
    <row r="16" spans="1:6" s="42" customFormat="1" ht="12.75" customHeight="1" x14ac:dyDescent="0.25">
      <c r="A16" s="147" t="s">
        <v>193</v>
      </c>
      <c r="B16" s="144">
        <v>1</v>
      </c>
      <c r="C16" s="48"/>
      <c r="D16" s="48"/>
      <c r="E16" s="48"/>
      <c r="F16" s="48"/>
    </row>
    <row r="17" spans="1:10" x14ac:dyDescent="0.25">
      <c r="A17" s="61" t="s">
        <v>176</v>
      </c>
      <c r="B17" s="64">
        <v>32</v>
      </c>
      <c r="C17" s="45"/>
      <c r="D17" s="176"/>
    </row>
    <row r="18" spans="1:10" ht="15" x14ac:dyDescent="0.3">
      <c r="A18" s="61" t="s">
        <v>431</v>
      </c>
      <c r="B18" s="64">
        <v>64</v>
      </c>
      <c r="C18" s="45"/>
      <c r="D18" s="176"/>
    </row>
    <row r="19" spans="1:10" s="42" customFormat="1" ht="12.75" customHeight="1" x14ac:dyDescent="0.3">
      <c r="A19" s="61" t="s">
        <v>432</v>
      </c>
      <c r="B19" s="93">
        <v>80</v>
      </c>
      <c r="C19" s="50"/>
      <c r="D19" s="50"/>
      <c r="E19" s="50"/>
      <c r="F19" s="50"/>
      <c r="G19" s="50"/>
      <c r="H19" s="50"/>
      <c r="I19" s="50"/>
      <c r="J19" s="50"/>
    </row>
    <row r="20" spans="1:10" s="42" customFormat="1" ht="12.75" customHeight="1" x14ac:dyDescent="0.3">
      <c r="A20" s="61" t="s">
        <v>433</v>
      </c>
      <c r="B20" s="93">
        <v>98</v>
      </c>
      <c r="C20" s="50"/>
      <c r="D20" s="50"/>
      <c r="E20" s="50"/>
      <c r="F20" s="50"/>
      <c r="G20" s="50"/>
      <c r="H20" s="50"/>
      <c r="I20" s="50"/>
      <c r="J20" s="50"/>
    </row>
    <row r="21" spans="1:10" x14ac:dyDescent="0.25">
      <c r="A21" s="61" t="s">
        <v>175</v>
      </c>
      <c r="B21" s="261">
        <f>7.05</f>
        <v>7.05</v>
      </c>
      <c r="C21" s="45"/>
      <c r="D21" s="176"/>
      <c r="F21" s="44"/>
    </row>
    <row r="22" spans="1:10" s="42" customFormat="1" x14ac:dyDescent="0.25">
      <c r="A22" s="61" t="s">
        <v>53</v>
      </c>
      <c r="B22" s="444">
        <v>2.2046199999999998</v>
      </c>
    </row>
    <row r="23" spans="1:10" s="42" customFormat="1" x14ac:dyDescent="0.25">
      <c r="A23" s="61" t="s">
        <v>54</v>
      </c>
      <c r="B23" s="261">
        <v>73.959999999999994</v>
      </c>
    </row>
    <row r="24" spans="1:10" s="42" customFormat="1" x14ac:dyDescent="0.25">
      <c r="A24" s="61" t="s">
        <v>55</v>
      </c>
      <c r="B24" s="261">
        <f>B23*B22</f>
        <v>163.05369519999996</v>
      </c>
    </row>
    <row r="25" spans="1:10" s="42" customFormat="1" x14ac:dyDescent="0.25">
      <c r="A25" s="61" t="s">
        <v>56</v>
      </c>
      <c r="B25" s="55">
        <v>3.0000000000000001E-3</v>
      </c>
      <c r="D25" s="44"/>
      <c r="E25" s="45"/>
    </row>
    <row r="26" spans="1:10" s="42" customFormat="1" x14ac:dyDescent="0.25">
      <c r="A26" s="61" t="s">
        <v>57</v>
      </c>
      <c r="B26" s="55">
        <f>B25*B22</f>
        <v>6.6138599999999992E-3</v>
      </c>
      <c r="D26" s="166"/>
      <c r="E26" s="44"/>
    </row>
    <row r="27" spans="1:10" s="42" customFormat="1" x14ac:dyDescent="0.25">
      <c r="A27" s="61" t="s">
        <v>58</v>
      </c>
      <c r="B27" s="55">
        <v>5.9999999999999995E-4</v>
      </c>
      <c r="D27" s="166"/>
      <c r="E27" s="44"/>
    </row>
    <row r="28" spans="1:10" s="42" customFormat="1" x14ac:dyDescent="0.25">
      <c r="A28" s="61" t="s">
        <v>59</v>
      </c>
      <c r="B28" s="55">
        <f>B27*B22</f>
        <v>1.3227719999999998E-3</v>
      </c>
    </row>
    <row r="29" spans="1:10" s="42" customFormat="1" x14ac:dyDescent="0.25">
      <c r="A29" s="61" t="s">
        <v>60</v>
      </c>
      <c r="B29" s="262">
        <v>1</v>
      </c>
    </row>
    <row r="30" spans="1:10" s="42" customFormat="1" x14ac:dyDescent="0.25">
      <c r="A30" s="61" t="s">
        <v>61</v>
      </c>
      <c r="B30" s="262">
        <v>25</v>
      </c>
    </row>
    <row r="31" spans="1:10" s="42" customFormat="1" ht="14.25" thickBot="1" x14ac:dyDescent="0.3">
      <c r="A31" s="65" t="s">
        <v>62</v>
      </c>
      <c r="B31" s="263">
        <v>298</v>
      </c>
    </row>
    <row r="32" spans="1:10" x14ac:dyDescent="0.25">
      <c r="A32" s="167"/>
      <c r="B32" s="201"/>
    </row>
    <row r="33" spans="1:15" ht="15" thickBot="1" x14ac:dyDescent="0.35">
      <c r="A33" s="168" t="s">
        <v>12</v>
      </c>
      <c r="B33" s="169"/>
      <c r="C33" s="169"/>
      <c r="D33" s="169"/>
    </row>
    <row r="34" spans="1:15" ht="35.25" customHeight="1" thickBot="1" x14ac:dyDescent="0.35">
      <c r="A34" s="208" t="s">
        <v>2</v>
      </c>
      <c r="B34" s="264" t="s">
        <v>180</v>
      </c>
      <c r="C34" s="209" t="s">
        <v>6</v>
      </c>
      <c r="D34" s="209" t="s">
        <v>4</v>
      </c>
      <c r="E34" s="210" t="s">
        <v>88</v>
      </c>
      <c r="F34" s="69" t="s">
        <v>407</v>
      </c>
      <c r="G34" s="70" t="s">
        <v>408</v>
      </c>
      <c r="K34" s="170"/>
      <c r="L34" s="43"/>
      <c r="M34" s="43"/>
    </row>
    <row r="35" spans="1:15" x14ac:dyDescent="0.25">
      <c r="A35" s="189" t="s">
        <v>1</v>
      </c>
      <c r="B35" s="592">
        <v>0.11</v>
      </c>
      <c r="C35" s="211" t="s">
        <v>52</v>
      </c>
      <c r="D35" s="212">
        <f>($B$8*B35)/453.59</f>
        <v>0.65041116426728984</v>
      </c>
      <c r="E35" s="213">
        <f t="shared" ref="E35:E43" si="0">(D35/2000)*$B$11</f>
        <v>3.2520558213364491E-2</v>
      </c>
      <c r="F35" s="212">
        <f>D35*$B$66*1000/60</f>
        <v>4917.0216803721414</v>
      </c>
      <c r="G35" s="577">
        <f>F35/('Stack Parameters'!$D$29*(0.3048^3))</f>
        <v>22.705849219310355</v>
      </c>
      <c r="K35" s="171"/>
    </row>
    <row r="36" spans="1:15" x14ac:dyDescent="0.25">
      <c r="A36" s="172" t="s">
        <v>0</v>
      </c>
      <c r="B36" s="593">
        <v>5.45</v>
      </c>
      <c r="C36" s="62" t="s">
        <v>52</v>
      </c>
      <c r="D36" s="180">
        <f>($B$8*B36)/453.59</f>
        <v>32.224916775061182</v>
      </c>
      <c r="E36" s="173">
        <f t="shared" si="0"/>
        <v>1.611245838753059</v>
      </c>
      <c r="F36" s="180">
        <f t="shared" ref="F36:F45" si="1">D36*$B$66*1000/60</f>
        <v>243616.07416389251</v>
      </c>
      <c r="G36" s="213">
        <f>F36/('Stack Parameters'!$D$29*(0.3048^3))</f>
        <v>1124.971620411286</v>
      </c>
      <c r="K36" s="174"/>
    </row>
    <row r="37" spans="1:15" x14ac:dyDescent="0.25">
      <c r="A37" s="165" t="s">
        <v>3</v>
      </c>
      <c r="B37" s="594">
        <v>0.3</v>
      </c>
      <c r="C37" s="62" t="s">
        <v>52</v>
      </c>
      <c r="D37" s="175">
        <f>($B$8*B37)/453.59</f>
        <v>1.7738486298198815</v>
      </c>
      <c r="E37" s="173">
        <f t="shared" si="0"/>
        <v>8.8692431490994081E-2</v>
      </c>
      <c r="F37" s="175">
        <f t="shared" si="1"/>
        <v>13410.059128287659</v>
      </c>
      <c r="G37" s="213">
        <f>F37/('Stack Parameters'!$D$29*(0.3048^3))</f>
        <v>61.925043325391883</v>
      </c>
      <c r="K37" s="176"/>
    </row>
    <row r="38" spans="1:15" ht="15" x14ac:dyDescent="0.3">
      <c r="A38" s="165" t="s">
        <v>173</v>
      </c>
      <c r="B38" s="595" t="s">
        <v>52</v>
      </c>
      <c r="C38" s="62" t="s">
        <v>52</v>
      </c>
      <c r="D38" s="177">
        <f>$B$9*$B$21*($B$6/100)*($B$18/$B$17)</f>
        <v>2.9187000000000001E-2</v>
      </c>
      <c r="E38" s="178">
        <f t="shared" si="0"/>
        <v>1.4593500000000001E-3</v>
      </c>
      <c r="F38" s="177">
        <f t="shared" si="1"/>
        <v>220.64982839999999</v>
      </c>
      <c r="G38" s="213">
        <f>F38/('Stack Parameters'!$D$29*(0.3048^3))</f>
        <v>1.0189179669303232</v>
      </c>
      <c r="K38" s="179"/>
    </row>
    <row r="39" spans="1:15" ht="15" x14ac:dyDescent="0.3">
      <c r="A39" s="267" t="s">
        <v>164</v>
      </c>
      <c r="B39" s="593">
        <v>2.5000000000000001E-2</v>
      </c>
      <c r="C39" s="62" t="s">
        <v>52</v>
      </c>
      <c r="D39" s="180">
        <f>($B$8*B39)/453.59</f>
        <v>0.14782071915165679</v>
      </c>
      <c r="E39" s="181">
        <f t="shared" si="0"/>
        <v>7.3910359575828401E-3</v>
      </c>
      <c r="F39" s="180">
        <f t="shared" si="1"/>
        <v>1117.504927357305</v>
      </c>
      <c r="G39" s="213">
        <f>F39/('Stack Parameters'!$D$29*(0.3048^3))</f>
        <v>5.1604202771159899</v>
      </c>
      <c r="K39" s="45"/>
    </row>
    <row r="40" spans="1:15" ht="16.5" x14ac:dyDescent="0.3">
      <c r="A40" s="61" t="s">
        <v>131</v>
      </c>
      <c r="B40" s="62" t="s">
        <v>52</v>
      </c>
      <c r="C40" s="477">
        <f>B21*B6/100*(B18/B17)*B15*(B20/B19)/B5*1000000</f>
        <v>1.8506250000000001E-4</v>
      </c>
      <c r="D40" s="59">
        <f>C40*$B$10</f>
        <v>3.5754075000000002E-3</v>
      </c>
      <c r="E40" s="478">
        <f>(D40/2000)*$B$11</f>
        <v>1.7877037500000002E-4</v>
      </c>
      <c r="F40" s="180">
        <f>D40*$B$66*1000/60</f>
        <v>27.029603979000001</v>
      </c>
      <c r="G40" s="213">
        <f>F40/('Stack Parameters'!$D$29*(0.3048^3))</f>
        <v>0.1248174509489646</v>
      </c>
      <c r="K40" s="45"/>
    </row>
    <row r="41" spans="1:15" s="42" customFormat="1" ht="15" x14ac:dyDescent="0.3">
      <c r="A41" s="80" t="s">
        <v>113</v>
      </c>
      <c r="B41" s="62" t="s">
        <v>52</v>
      </c>
      <c r="C41" s="60">
        <f>B24</f>
        <v>163.05369519999996</v>
      </c>
      <c r="D41" s="63">
        <f>C41*$B$10</f>
        <v>3150.1973912639992</v>
      </c>
      <c r="E41" s="64">
        <f t="shared" si="0"/>
        <v>157.50986956319997</v>
      </c>
      <c r="F41" s="63">
        <f t="shared" si="1"/>
        <v>23815072.251636997</v>
      </c>
      <c r="G41" s="213">
        <f>F41/('Stack Parameters'!$D$29*(0.3048^3))</f>
        <v>109973.36901140651</v>
      </c>
      <c r="I41" s="51"/>
      <c r="J41" s="51"/>
    </row>
    <row r="42" spans="1:15" s="42" customFormat="1" ht="15" x14ac:dyDescent="0.3">
      <c r="A42" s="80" t="s">
        <v>114</v>
      </c>
      <c r="B42" s="62" t="s">
        <v>52</v>
      </c>
      <c r="C42" s="59">
        <f>B26</f>
        <v>6.6138599999999992E-3</v>
      </c>
      <c r="D42" s="59">
        <f>C42*$B$10</f>
        <v>0.12777977519999997</v>
      </c>
      <c r="E42" s="94">
        <f t="shared" si="0"/>
        <v>6.3889887599999978E-3</v>
      </c>
      <c r="F42" s="59">
        <f t="shared" si="1"/>
        <v>965.99806320863968</v>
      </c>
      <c r="G42" s="213">
        <f>F42/('Stack Parameters'!$D$29*(0.3048^3))</f>
        <v>4.4607910631992906</v>
      </c>
      <c r="I42" s="51"/>
      <c r="J42" s="51"/>
    </row>
    <row r="43" spans="1:15" s="42" customFormat="1" ht="15" x14ac:dyDescent="0.3">
      <c r="A43" s="80" t="s">
        <v>115</v>
      </c>
      <c r="B43" s="62" t="s">
        <v>52</v>
      </c>
      <c r="C43" s="59">
        <f>B28</f>
        <v>1.3227719999999998E-3</v>
      </c>
      <c r="D43" s="59">
        <f>C43*$B$10</f>
        <v>2.5555955039999998E-2</v>
      </c>
      <c r="E43" s="94">
        <f t="shared" si="0"/>
        <v>1.2777977519999998E-3</v>
      </c>
      <c r="F43" s="59">
        <f t="shared" si="1"/>
        <v>193.19961264172798</v>
      </c>
      <c r="G43" s="213">
        <f>F43/('Stack Parameters'!$D$29*(0.3048^3))</f>
        <v>0.89215821263985828</v>
      </c>
      <c r="I43" s="51"/>
      <c r="J43" s="51"/>
    </row>
    <row r="44" spans="1:15" s="42" customFormat="1" x14ac:dyDescent="0.25">
      <c r="A44" s="61" t="s">
        <v>63</v>
      </c>
      <c r="B44" s="62" t="s">
        <v>52</v>
      </c>
      <c r="C44" s="62" t="s">
        <v>52</v>
      </c>
      <c r="D44" s="63">
        <f>SUM(D41:D43)</f>
        <v>3150.3507269942393</v>
      </c>
      <c r="E44" s="64">
        <f>SUM(E41:E43)</f>
        <v>157.51753634971197</v>
      </c>
      <c r="F44" s="63">
        <f t="shared" si="1"/>
        <v>23816231.449312851</v>
      </c>
      <c r="G44" s="213">
        <f>F44/('Stack Parameters'!$D$29*(0.3048^3))</f>
        <v>109978.72196068236</v>
      </c>
      <c r="I44" s="51"/>
      <c r="J44" s="51"/>
    </row>
    <row r="45" spans="1:15" s="42" customFormat="1" ht="15.75" thickBot="1" x14ac:dyDescent="0.35">
      <c r="A45" s="65" t="s">
        <v>64</v>
      </c>
      <c r="B45" s="66" t="s">
        <v>52</v>
      </c>
      <c r="C45" s="66" t="s">
        <v>52</v>
      </c>
      <c r="D45" s="67">
        <f>SUM(D41*$B$29,D42*$B$30,D43*$B$31)</f>
        <v>3161.0075602459192</v>
      </c>
      <c r="E45" s="68">
        <f>SUM(E41*$B$29,E42*$B$30,E43*$B$31)</f>
        <v>158.05037801229597</v>
      </c>
      <c r="F45" s="67">
        <f t="shared" si="1"/>
        <v>23896795.687784448</v>
      </c>
      <c r="G45" s="578">
        <f>F45/('Stack Parameters'!$D$29*(0.3048^3))</f>
        <v>110350.75193535317</v>
      </c>
      <c r="I45" s="51"/>
      <c r="J45" s="51"/>
    </row>
    <row r="46" spans="1:15" ht="12" customHeight="1" x14ac:dyDescent="0.25">
      <c r="A46" s="637" t="s">
        <v>421</v>
      </c>
      <c r="B46" s="637"/>
      <c r="C46" s="637"/>
      <c r="D46" s="637"/>
      <c r="E46" s="637"/>
    </row>
    <row r="47" spans="1:15" ht="31.5" customHeight="1" x14ac:dyDescent="0.25">
      <c r="A47" s="638"/>
      <c r="B47" s="638"/>
      <c r="C47" s="638"/>
      <c r="D47" s="638"/>
      <c r="E47" s="638"/>
    </row>
    <row r="48" spans="1:15" s="42" customFormat="1" ht="27" customHeight="1" x14ac:dyDescent="0.25">
      <c r="A48" s="620" t="s">
        <v>181</v>
      </c>
      <c r="B48" s="620"/>
      <c r="C48" s="620"/>
      <c r="D48" s="620"/>
      <c r="E48" s="620"/>
      <c r="F48" s="132"/>
      <c r="G48" s="132"/>
      <c r="H48" s="130"/>
      <c r="I48" s="130"/>
      <c r="K48" s="130"/>
      <c r="L48" s="130"/>
      <c r="O48" s="130"/>
    </row>
    <row r="49" spans="1:15" s="42" customFormat="1" ht="13.5" customHeight="1" x14ac:dyDescent="0.25">
      <c r="A49" s="207" t="s">
        <v>182</v>
      </c>
      <c r="B49" s="132"/>
      <c r="C49" s="132"/>
      <c r="D49" s="132"/>
      <c r="E49" s="132"/>
      <c r="F49" s="132"/>
      <c r="G49" s="132"/>
      <c r="H49" s="130"/>
      <c r="I49" s="130"/>
      <c r="K49" s="130"/>
      <c r="L49" s="130"/>
      <c r="O49" s="130"/>
    </row>
    <row r="50" spans="1:15" s="42" customFormat="1" ht="18.75" customHeight="1" x14ac:dyDescent="0.25">
      <c r="A50" s="162" t="s">
        <v>183</v>
      </c>
      <c r="B50" s="133"/>
      <c r="C50" s="133"/>
      <c r="D50" s="133"/>
      <c r="E50" s="133"/>
      <c r="F50" s="133"/>
      <c r="G50" s="133"/>
    </row>
    <row r="51" spans="1:15" s="42" customFormat="1" ht="18.75" customHeight="1" x14ac:dyDescent="0.25">
      <c r="A51" s="162" t="s">
        <v>169</v>
      </c>
      <c r="B51" s="133"/>
      <c r="C51" s="133"/>
      <c r="D51" s="133"/>
      <c r="E51" s="133"/>
      <c r="F51" s="133"/>
      <c r="G51" s="133"/>
    </row>
    <row r="52" spans="1:15" s="42" customFormat="1" ht="18.75" customHeight="1" x14ac:dyDescent="0.25">
      <c r="A52" s="162" t="s">
        <v>184</v>
      </c>
      <c r="B52" s="162"/>
      <c r="C52" s="162"/>
      <c r="D52" s="162"/>
      <c r="E52" s="162"/>
      <c r="F52" s="162"/>
      <c r="G52" s="162"/>
    </row>
    <row r="53" spans="1:15" ht="17.25" customHeight="1" x14ac:dyDescent="0.25">
      <c r="A53" s="185"/>
      <c r="B53" s="182"/>
      <c r="C53" s="183"/>
      <c r="D53" s="184"/>
    </row>
    <row r="54" spans="1:15" ht="17.25" customHeight="1" thickBot="1" x14ac:dyDescent="0.35">
      <c r="A54" s="168" t="s">
        <v>13</v>
      </c>
      <c r="B54" s="186"/>
      <c r="C54" s="187"/>
      <c r="D54" s="188"/>
    </row>
    <row r="55" spans="1:15" ht="35.25" customHeight="1" thickBot="1" x14ac:dyDescent="0.35">
      <c r="A55" s="208" t="s">
        <v>2</v>
      </c>
      <c r="B55" s="209" t="s">
        <v>255</v>
      </c>
      <c r="C55" s="209" t="s">
        <v>4</v>
      </c>
      <c r="D55" s="210" t="s">
        <v>88</v>
      </c>
      <c r="E55" s="69" t="s">
        <v>417</v>
      </c>
      <c r="F55" s="70" t="s">
        <v>418</v>
      </c>
    </row>
    <row r="56" spans="1:15" ht="18.75" customHeight="1" x14ac:dyDescent="0.25">
      <c r="A56" s="189" t="s">
        <v>14</v>
      </c>
      <c r="B56" s="190">
        <v>2.5199999999999999E-5</v>
      </c>
      <c r="C56" s="190">
        <f t="shared" ref="C56:C63" si="2">$B$10*B56</f>
        <v>4.8686399999999999E-4</v>
      </c>
      <c r="D56" s="191">
        <f t="shared" ref="D56:D63" si="3">(C56*$B$11)/2000</f>
        <v>2.4343199999999998E-5</v>
      </c>
      <c r="E56" s="190">
        <f>C56*$B$66*1000/60</f>
        <v>3.6806269247999999</v>
      </c>
      <c r="F56" s="579">
        <f>E56/('Stack Parameters'!$D$29*(0.3048^3))</f>
        <v>1.6996418852624966E-2</v>
      </c>
    </row>
    <row r="57" spans="1:15" ht="18" customHeight="1" x14ac:dyDescent="0.25">
      <c r="A57" s="172" t="s">
        <v>15</v>
      </c>
      <c r="B57" s="192">
        <v>7.8800000000000008E-6</v>
      </c>
      <c r="C57" s="192">
        <f t="shared" si="2"/>
        <v>1.5224160000000002E-4</v>
      </c>
      <c r="D57" s="193">
        <f t="shared" si="3"/>
        <v>7.6120800000000015E-6</v>
      </c>
      <c r="E57" s="192">
        <f t="shared" ref="E57:E63" si="4">C57*$B$66*1000/60</f>
        <v>1.1509261971200002</v>
      </c>
      <c r="F57" s="191">
        <f>E57/('Stack Parameters'!$D$29*(0.3048^3))</f>
        <v>5.3147531967732047E-3</v>
      </c>
    </row>
    <row r="58" spans="1:15" x14ac:dyDescent="0.25">
      <c r="A58" s="172" t="s">
        <v>16</v>
      </c>
      <c r="B58" s="192">
        <v>7.76E-4</v>
      </c>
      <c r="C58" s="192">
        <f t="shared" si="2"/>
        <v>1.499232E-2</v>
      </c>
      <c r="D58" s="193">
        <f t="shared" si="3"/>
        <v>7.4961599999999993E-4</v>
      </c>
      <c r="E58" s="192">
        <f t="shared" si="4"/>
        <v>113.33994022399999</v>
      </c>
      <c r="F58" s="191">
        <f>E58/('Stack Parameters'!$D$29*(0.3048^3))</f>
        <v>0.52338178689035608</v>
      </c>
    </row>
    <row r="59" spans="1:15" x14ac:dyDescent="0.25">
      <c r="A59" s="172" t="s">
        <v>17</v>
      </c>
      <c r="B59" s="192">
        <v>7.8899999999999993E-5</v>
      </c>
      <c r="C59" s="192">
        <f t="shared" si="2"/>
        <v>1.5243479999999998E-3</v>
      </c>
      <c r="D59" s="193">
        <f t="shared" si="3"/>
        <v>7.6217399999999993E-5</v>
      </c>
      <c r="E59" s="192">
        <f t="shared" si="4"/>
        <v>11.523867633599998</v>
      </c>
      <c r="F59" s="191">
        <f>E59/('Stack Parameters'!$D$29*(0.3048^3))</f>
        <v>5.3214978074290063E-2</v>
      </c>
    </row>
    <row r="60" spans="1:15" x14ac:dyDescent="0.25">
      <c r="A60" s="172" t="s">
        <v>18</v>
      </c>
      <c r="B60" s="192">
        <v>1.2999999999999999E-4</v>
      </c>
      <c r="C60" s="192">
        <f t="shared" si="2"/>
        <v>2.5115999999999997E-3</v>
      </c>
      <c r="D60" s="193">
        <f t="shared" si="3"/>
        <v>1.2558E-4</v>
      </c>
      <c r="E60" s="192">
        <f t="shared" si="4"/>
        <v>18.987361119999999</v>
      </c>
      <c r="F60" s="191">
        <f>E60/('Stack Parameters'!$D$29*(0.3048^3))</f>
        <v>8.7679938525446241E-2</v>
      </c>
    </row>
    <row r="61" spans="1:15" x14ac:dyDescent="0.25">
      <c r="A61" s="172" t="s">
        <v>30</v>
      </c>
      <c r="B61" s="192">
        <v>2.12E-4</v>
      </c>
      <c r="C61" s="192">
        <f t="shared" si="2"/>
        <v>4.0958399999999999E-3</v>
      </c>
      <c r="D61" s="193">
        <f t="shared" si="3"/>
        <v>2.04792E-4</v>
      </c>
      <c r="E61" s="192">
        <f t="shared" si="4"/>
        <v>30.964004287999998</v>
      </c>
      <c r="F61" s="191">
        <f>E61/('Stack Parameters'!$D$29*(0.3048^3))</f>
        <v>0.14298574590303542</v>
      </c>
    </row>
    <row r="62" spans="1:15" x14ac:dyDescent="0.25">
      <c r="A62" s="172" t="s">
        <v>19</v>
      </c>
      <c r="B62" s="192">
        <v>2.81E-4</v>
      </c>
      <c r="C62" s="192">
        <f t="shared" si="2"/>
        <v>5.4289200000000003E-3</v>
      </c>
      <c r="D62" s="193">
        <f t="shared" si="3"/>
        <v>2.71446E-4</v>
      </c>
      <c r="E62" s="192">
        <f t="shared" si="4"/>
        <v>41.041911343999999</v>
      </c>
      <c r="F62" s="191">
        <f>E62/('Stack Parameters'!$D$29*(0.3048^3))</f>
        <v>0.18952355942807997</v>
      </c>
    </row>
    <row r="63" spans="1:15" ht="14.25" thickBot="1" x14ac:dyDescent="0.3">
      <c r="A63" s="194" t="s">
        <v>20</v>
      </c>
      <c r="B63" s="195">
        <v>1.93E-4</v>
      </c>
      <c r="C63" s="195">
        <f t="shared" si="2"/>
        <v>3.7287600000000002E-3</v>
      </c>
      <c r="D63" s="196">
        <f t="shared" si="3"/>
        <v>1.8643800000000003E-4</v>
      </c>
      <c r="E63" s="195">
        <f t="shared" si="4"/>
        <v>28.188928432000001</v>
      </c>
      <c r="F63" s="206">
        <f>E63/('Stack Parameters'!$D$29*(0.3048^3))</f>
        <v>0.13017098565700866</v>
      </c>
    </row>
    <row r="64" spans="1:15" ht="31.5" customHeight="1" x14ac:dyDescent="0.25">
      <c r="A64" s="634" t="s">
        <v>253</v>
      </c>
      <c r="B64" s="634"/>
      <c r="C64" s="634"/>
      <c r="D64" s="634"/>
      <c r="E64" s="634"/>
    </row>
    <row r="65" spans="1:10" ht="15.75" x14ac:dyDescent="0.25">
      <c r="A65" s="44" t="s">
        <v>254</v>
      </c>
    </row>
    <row r="66" spans="1:10" ht="15.75" x14ac:dyDescent="0.25">
      <c r="A66" s="411" t="s">
        <v>415</v>
      </c>
      <c r="B66" s="48">
        <f>453.592</f>
        <v>453.59199999999998</v>
      </c>
    </row>
    <row r="67" spans="1:10" ht="15.75" x14ac:dyDescent="0.25">
      <c r="A67" s="42" t="s">
        <v>416</v>
      </c>
      <c r="B67" s="412">
        <f>'Stack Parameters'!D28</f>
        <v>15295</v>
      </c>
    </row>
    <row r="70" spans="1:10" s="42" customFormat="1" ht="12.75" customHeight="1" x14ac:dyDescent="0.25">
      <c r="C70" s="48"/>
      <c r="D70" s="48"/>
      <c r="E70" s="48"/>
      <c r="F70" s="48"/>
    </row>
    <row r="71" spans="1:10" s="42" customFormat="1" ht="12.75" customHeight="1" x14ac:dyDescent="0.25">
      <c r="C71" s="48"/>
      <c r="D71" s="48"/>
      <c r="E71" s="48"/>
      <c r="F71" s="48"/>
    </row>
    <row r="72" spans="1:10" s="42" customFormat="1" ht="12.75" customHeight="1" x14ac:dyDescent="0.25">
      <c r="C72" s="48"/>
      <c r="D72" s="48"/>
      <c r="E72" s="48"/>
      <c r="F72" s="48"/>
    </row>
    <row r="73" spans="1:10" s="42" customFormat="1" ht="12.75" customHeight="1" x14ac:dyDescent="0.25">
      <c r="C73" s="50"/>
      <c r="D73" s="50"/>
      <c r="E73" s="50"/>
      <c r="F73" s="50"/>
      <c r="G73" s="50"/>
      <c r="H73" s="50"/>
      <c r="I73" s="50"/>
      <c r="J73" s="50"/>
    </row>
    <row r="74" spans="1:10" s="42" customFormat="1" ht="12.75" customHeight="1" x14ac:dyDescent="0.25">
      <c r="C74" s="50"/>
      <c r="D74" s="50"/>
      <c r="E74" s="50"/>
      <c r="F74" s="50"/>
      <c r="G74" s="50"/>
      <c r="H74" s="50"/>
      <c r="I74" s="50"/>
      <c r="J74" s="50"/>
    </row>
    <row r="75" spans="1:10" s="42" customFormat="1" ht="12.75" customHeight="1" x14ac:dyDescent="0.25">
      <c r="C75" s="50"/>
      <c r="D75" s="50"/>
      <c r="E75" s="50"/>
      <c r="F75" s="50"/>
      <c r="G75" s="50"/>
      <c r="H75" s="50"/>
      <c r="I75" s="50"/>
      <c r="J75" s="50"/>
    </row>
  </sheetData>
  <mergeCells count="3">
    <mergeCell ref="A46:E47"/>
    <mergeCell ref="A48:E48"/>
    <mergeCell ref="A64:E64"/>
  </mergeCells>
  <pageMargins left="0.75" right="0.75" top="0.45" bottom="0.59" header="0.5" footer="0.5"/>
  <pageSetup scale="6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67"/>
  <sheetViews>
    <sheetView topLeftCell="A52" zoomScaleNormal="100" zoomScaleSheetLayoutView="85" workbookViewId="0">
      <selection activeCell="A7" sqref="A7"/>
    </sheetView>
  </sheetViews>
  <sheetFormatPr defaultColWidth="9.140625" defaultRowHeight="13.5" x14ac:dyDescent="0.25"/>
  <cols>
    <col min="1" max="1" width="37.5703125" style="44" customWidth="1"/>
    <col min="2" max="2" width="16.7109375" style="44" customWidth="1"/>
    <col min="3" max="5" width="14.85546875" style="44" customWidth="1"/>
    <col min="6" max="6" width="14.85546875" style="45" customWidth="1"/>
    <col min="7" max="7" width="17.7109375" style="44" customWidth="1"/>
    <col min="8" max="16384" width="9.140625" style="44"/>
  </cols>
  <sheetData>
    <row r="1" spans="1:2" ht="14.25" x14ac:dyDescent="0.3">
      <c r="A1" s="43" t="s">
        <v>419</v>
      </c>
    </row>
    <row r="2" spans="1:2" ht="14.25" x14ac:dyDescent="0.3">
      <c r="A2" s="492" t="s">
        <v>438</v>
      </c>
    </row>
    <row r="3" spans="1:2" ht="14.25" thickBot="1" x14ac:dyDescent="0.3"/>
    <row r="4" spans="1:2" ht="14.25" x14ac:dyDescent="0.3">
      <c r="A4" s="128" t="s">
        <v>8</v>
      </c>
      <c r="B4" s="129" t="s">
        <v>118</v>
      </c>
    </row>
    <row r="5" spans="1:2" x14ac:dyDescent="0.25">
      <c r="A5" s="61" t="s">
        <v>119</v>
      </c>
      <c r="B5" s="64">
        <v>140000</v>
      </c>
    </row>
    <row r="6" spans="1:2" x14ac:dyDescent="0.25">
      <c r="A6" s="61" t="s">
        <v>120</v>
      </c>
      <c r="B6" s="256">
        <v>1.5E-3</v>
      </c>
    </row>
    <row r="7" spans="1:2" x14ac:dyDescent="0.25">
      <c r="A7" s="61" t="s">
        <v>9</v>
      </c>
      <c r="B7" s="64">
        <v>315</v>
      </c>
    </row>
    <row r="8" spans="1:2" x14ac:dyDescent="0.25">
      <c r="A8" s="61" t="s">
        <v>10</v>
      </c>
      <c r="B8" s="476">
        <v>15</v>
      </c>
    </row>
    <row r="9" spans="1:2" x14ac:dyDescent="0.25">
      <c r="A9" s="61" t="s">
        <v>11</v>
      </c>
      <c r="B9" s="479">
        <f>(B8*B5)/1000000</f>
        <v>2.1</v>
      </c>
    </row>
    <row r="10" spans="1:2" x14ac:dyDescent="0.25">
      <c r="A10" s="61" t="s">
        <v>121</v>
      </c>
      <c r="B10" s="93">
        <v>100</v>
      </c>
    </row>
    <row r="11" spans="1:2" x14ac:dyDescent="0.25">
      <c r="A11" s="61" t="s">
        <v>177</v>
      </c>
      <c r="B11" s="266">
        <v>3</v>
      </c>
    </row>
    <row r="12" spans="1:2" x14ac:dyDescent="0.25">
      <c r="A12" s="61" t="s">
        <v>178</v>
      </c>
      <c r="B12" s="152">
        <v>0.9</v>
      </c>
    </row>
    <row r="13" spans="1:2" x14ac:dyDescent="0.25">
      <c r="A13" s="61" t="s">
        <v>179</v>
      </c>
      <c r="B13" s="152">
        <v>0.1</v>
      </c>
    </row>
    <row r="14" spans="1:2" ht="15" x14ac:dyDescent="0.25">
      <c r="A14" s="147" t="s">
        <v>192</v>
      </c>
      <c r="B14" s="144">
        <v>0.1</v>
      </c>
    </row>
    <row r="15" spans="1:2" ht="15" x14ac:dyDescent="0.25">
      <c r="A15" s="147" t="s">
        <v>193</v>
      </c>
      <c r="B15" s="144">
        <v>1</v>
      </c>
    </row>
    <row r="16" spans="1:2" x14ac:dyDescent="0.25">
      <c r="A16" s="61" t="s">
        <v>176</v>
      </c>
      <c r="B16" s="93">
        <v>32</v>
      </c>
    </row>
    <row r="17" spans="1:6" ht="15" x14ac:dyDescent="0.3">
      <c r="A17" s="61" t="s">
        <v>431</v>
      </c>
      <c r="B17" s="93">
        <v>64</v>
      </c>
    </row>
    <row r="18" spans="1:6" ht="15" x14ac:dyDescent="0.3">
      <c r="A18" s="61" t="s">
        <v>432</v>
      </c>
      <c r="B18" s="93">
        <v>80</v>
      </c>
    </row>
    <row r="19" spans="1:6" ht="15" x14ac:dyDescent="0.3">
      <c r="A19" s="61" t="s">
        <v>433</v>
      </c>
      <c r="B19" s="93">
        <v>98</v>
      </c>
    </row>
    <row r="20" spans="1:6" x14ac:dyDescent="0.25">
      <c r="A20" s="61" t="s">
        <v>175</v>
      </c>
      <c r="B20" s="71">
        <f>7.05</f>
        <v>7.05</v>
      </c>
      <c r="D20" s="45"/>
      <c r="F20" s="44"/>
    </row>
    <row r="21" spans="1:6" s="42" customFormat="1" x14ac:dyDescent="0.25">
      <c r="A21" s="61" t="s">
        <v>53</v>
      </c>
      <c r="B21" s="445">
        <v>2.2046199999999998</v>
      </c>
    </row>
    <row r="22" spans="1:6" s="42" customFormat="1" x14ac:dyDescent="0.25">
      <c r="A22" s="61" t="s">
        <v>54</v>
      </c>
      <c r="B22" s="71">
        <v>73.959999999999994</v>
      </c>
    </row>
    <row r="23" spans="1:6" s="42" customFormat="1" x14ac:dyDescent="0.25">
      <c r="A23" s="61" t="s">
        <v>55</v>
      </c>
      <c r="B23" s="71">
        <f>B22*B21</f>
        <v>163.05369519999996</v>
      </c>
    </row>
    <row r="24" spans="1:6" s="42" customFormat="1" x14ac:dyDescent="0.25">
      <c r="A24" s="61" t="s">
        <v>56</v>
      </c>
      <c r="B24" s="72">
        <v>3.0000000000000001E-3</v>
      </c>
      <c r="D24" s="197"/>
      <c r="E24" s="45"/>
    </row>
    <row r="25" spans="1:6" s="42" customFormat="1" x14ac:dyDescent="0.25">
      <c r="A25" s="61" t="s">
        <v>57</v>
      </c>
      <c r="B25" s="72">
        <f>B24*B21</f>
        <v>6.6138599999999992E-3</v>
      </c>
      <c r="D25" s="198"/>
      <c r="E25" s="197"/>
    </row>
    <row r="26" spans="1:6" s="42" customFormat="1" x14ac:dyDescent="0.25">
      <c r="A26" s="61" t="s">
        <v>58</v>
      </c>
      <c r="B26" s="72">
        <v>5.9999999999999995E-4</v>
      </c>
      <c r="D26" s="198"/>
      <c r="E26" s="197"/>
    </row>
    <row r="27" spans="1:6" s="42" customFormat="1" x14ac:dyDescent="0.25">
      <c r="A27" s="61" t="s">
        <v>59</v>
      </c>
      <c r="B27" s="72">
        <f>B26*B21</f>
        <v>1.3227719999999998E-3</v>
      </c>
    </row>
    <row r="28" spans="1:6" s="42" customFormat="1" x14ac:dyDescent="0.25">
      <c r="A28" s="61" t="s">
        <v>60</v>
      </c>
      <c r="B28" s="73">
        <v>1</v>
      </c>
    </row>
    <row r="29" spans="1:6" s="42" customFormat="1" x14ac:dyDescent="0.25">
      <c r="A29" s="61" t="s">
        <v>61</v>
      </c>
      <c r="B29" s="73">
        <v>25</v>
      </c>
    </row>
    <row r="30" spans="1:6" s="42" customFormat="1" ht="14.25" thickBot="1" x14ac:dyDescent="0.3">
      <c r="A30" s="65" t="s">
        <v>62</v>
      </c>
      <c r="B30" s="74">
        <v>298</v>
      </c>
    </row>
    <row r="31" spans="1:6" x14ac:dyDescent="0.25">
      <c r="A31" s="199"/>
    </row>
    <row r="32" spans="1:6" ht="15" thickBot="1" x14ac:dyDescent="0.35">
      <c r="A32" s="200" t="s">
        <v>12</v>
      </c>
      <c r="B32" s="169"/>
      <c r="C32" s="169"/>
      <c r="D32" s="169"/>
    </row>
    <row r="33" spans="1:12" ht="31.5" thickBot="1" x14ac:dyDescent="0.35">
      <c r="A33" s="208" t="s">
        <v>2</v>
      </c>
      <c r="B33" s="209" t="s">
        <v>256</v>
      </c>
      <c r="C33" s="209" t="s">
        <v>6</v>
      </c>
      <c r="D33" s="209" t="s">
        <v>123</v>
      </c>
      <c r="E33" s="210" t="s">
        <v>88</v>
      </c>
      <c r="F33" s="69" t="s">
        <v>407</v>
      </c>
      <c r="G33" s="70" t="s">
        <v>408</v>
      </c>
      <c r="H33" s="43"/>
      <c r="I33" s="43"/>
    </row>
    <row r="34" spans="1:12" x14ac:dyDescent="0.25">
      <c r="A34" s="189" t="s">
        <v>1</v>
      </c>
      <c r="B34" s="596">
        <v>8.3000000000000004E-2</v>
      </c>
      <c r="C34" s="211" t="s">
        <v>52</v>
      </c>
      <c r="D34" s="212">
        <f>($B$7*B34)/453.59</f>
        <v>5.7640159615511818E-2</v>
      </c>
      <c r="E34" s="416">
        <f t="shared" ref="E34:E40" si="0">(D34/2000)*$B$10</f>
        <v>2.8820079807755907E-3</v>
      </c>
      <c r="F34" s="212">
        <f t="shared" ref="F34:F44" si="1">D34*$B$65*1000/60</f>
        <v>435.75192133865391</v>
      </c>
      <c r="G34" s="213">
        <f>F34/('Stack Parameters'!$D$40*(0.3048^3))</f>
        <v>10.991738482373481</v>
      </c>
      <c r="I34" s="202"/>
    </row>
    <row r="35" spans="1:12" ht="15" x14ac:dyDescent="0.3">
      <c r="A35" s="165" t="s">
        <v>174</v>
      </c>
      <c r="B35" s="593">
        <v>2.69</v>
      </c>
      <c r="C35" s="62" t="s">
        <v>52</v>
      </c>
      <c r="D35" s="180">
        <f>($B$7*B35)/453.59</f>
        <v>1.8680967393461057</v>
      </c>
      <c r="E35" s="173">
        <f t="shared" si="0"/>
        <v>9.3404836967305283E-2</v>
      </c>
      <c r="F35" s="180">
        <f t="shared" si="1"/>
        <v>14122.562269891314</v>
      </c>
      <c r="G35" s="173">
        <f>F35/('Stack Parameters'!$D$40*(0.3048^3))</f>
        <v>356.23827129620076</v>
      </c>
      <c r="I35" s="202"/>
      <c r="J35" s="202"/>
    </row>
    <row r="36" spans="1:12" x14ac:dyDescent="0.25">
      <c r="A36" s="165" t="s">
        <v>3</v>
      </c>
      <c r="B36" s="594">
        <v>0.44</v>
      </c>
      <c r="C36" s="62" t="s">
        <v>52</v>
      </c>
      <c r="D36" s="175">
        <f>($B$7*B36)/453.59</f>
        <v>0.30556229193765294</v>
      </c>
      <c r="E36" s="173">
        <f t="shared" si="0"/>
        <v>1.5278114596882646E-2</v>
      </c>
      <c r="F36" s="175">
        <f t="shared" si="1"/>
        <v>2310.0101854097311</v>
      </c>
      <c r="G36" s="173">
        <f>F36/('Stack Parameters'!$D$40*(0.3048^3))</f>
        <v>58.269457014991936</v>
      </c>
      <c r="I36" s="202"/>
      <c r="J36" s="202"/>
    </row>
    <row r="37" spans="1:12" ht="15" x14ac:dyDescent="0.3">
      <c r="A37" s="165" t="s">
        <v>173</v>
      </c>
      <c r="B37" s="62" t="s">
        <v>52</v>
      </c>
      <c r="C37" s="62" t="s">
        <v>52</v>
      </c>
      <c r="D37" s="247">
        <f>$B$8*$B$20*($B$6/100)*($B$17/$B$16)</f>
        <v>3.1725E-3</v>
      </c>
      <c r="E37" s="203">
        <f>(D37/2000)*$B$10</f>
        <v>1.5862499999999999E-4</v>
      </c>
      <c r="F37" s="247">
        <f t="shared" si="1"/>
        <v>23.983677</v>
      </c>
      <c r="G37" s="203">
        <f>F37/('Stack Parameters'!$D$40*(0.3048^3))</f>
        <v>0.6049825428648794</v>
      </c>
      <c r="I37" s="202"/>
      <c r="J37" s="446"/>
    </row>
    <row r="38" spans="1:12" ht="15" x14ac:dyDescent="0.3">
      <c r="A38" s="165" t="s">
        <v>164</v>
      </c>
      <c r="B38" s="247">
        <v>7.4499999999999997E-2</v>
      </c>
      <c r="C38" s="62" t="s">
        <v>52</v>
      </c>
      <c r="D38" s="180">
        <f>($B$7*B38)/453.59</f>
        <v>5.173725170307987E-2</v>
      </c>
      <c r="E38" s="204">
        <f t="shared" si="0"/>
        <v>2.5868625851539935E-3</v>
      </c>
      <c r="F38" s="180">
        <f t="shared" si="1"/>
        <v>391.1267245750567</v>
      </c>
      <c r="G38" s="204">
        <f>F38/('Stack Parameters'!$D$40*(0.3048^3))</f>
        <v>9.8660785173111325</v>
      </c>
      <c r="I38" s="447"/>
      <c r="J38" s="448"/>
    </row>
    <row r="39" spans="1:12" ht="16.5" x14ac:dyDescent="0.3">
      <c r="A39" s="61" t="s">
        <v>131</v>
      </c>
      <c r="B39" s="247"/>
      <c r="C39" s="477">
        <f>B20*B6/100*(B17/B16)*B14*(B19/B18)/B5*1000000</f>
        <v>1.8506250000000001E-4</v>
      </c>
      <c r="D39" s="59">
        <f>C39*$B$9</f>
        <v>3.8863125000000004E-4</v>
      </c>
      <c r="E39" s="478">
        <f>(D39/2000)*$B$10</f>
        <v>1.9431562500000003E-5</v>
      </c>
      <c r="F39" s="180">
        <f t="shared" ref="F39" si="2">D39*$B$65*1000/60</f>
        <v>2.9380004325</v>
      </c>
      <c r="G39" s="204">
        <f>F39/('Stack Parameters'!$D$40*(0.3048^3))</f>
        <v>7.4110361500947727E-2</v>
      </c>
      <c r="I39" s="447"/>
      <c r="J39" s="448"/>
    </row>
    <row r="40" spans="1:12" s="42" customFormat="1" ht="15" x14ac:dyDescent="0.3">
      <c r="A40" s="80" t="s">
        <v>113</v>
      </c>
      <c r="B40" s="62" t="s">
        <v>52</v>
      </c>
      <c r="C40" s="60">
        <f>B23</f>
        <v>163.05369519999996</v>
      </c>
      <c r="D40" s="63">
        <f>C40*$B$9</f>
        <v>342.41275991999993</v>
      </c>
      <c r="E40" s="64">
        <f t="shared" si="0"/>
        <v>17.120637995999996</v>
      </c>
      <c r="F40" s="63">
        <f t="shared" si="1"/>
        <v>2588594.8099605432</v>
      </c>
      <c r="G40" s="64">
        <f>F40/('Stack Parameters'!$D$40*(0.3048^3))</f>
        <v>65296.687850522612</v>
      </c>
      <c r="I40" s="449"/>
      <c r="J40" s="450"/>
    </row>
    <row r="41" spans="1:12" s="42" customFormat="1" ht="15" x14ac:dyDescent="0.3">
      <c r="A41" s="80" t="s">
        <v>114</v>
      </c>
      <c r="B41" s="62" t="s">
        <v>52</v>
      </c>
      <c r="C41" s="59">
        <f>B25</f>
        <v>6.6138599999999992E-3</v>
      </c>
      <c r="D41" s="59">
        <f>C41*$B$9</f>
        <v>1.3889105999999998E-2</v>
      </c>
      <c r="E41" s="55">
        <f>(D41/2000)*$B$10</f>
        <v>6.9445529999999996E-4</v>
      </c>
      <c r="F41" s="59">
        <f t="shared" si="1"/>
        <v>104.99978947919999</v>
      </c>
      <c r="G41" s="55">
        <f>F41/('Stack Parameters'!$D$40*(0.3048^3))</f>
        <v>2.6485946937745792</v>
      </c>
      <c r="I41" s="51"/>
      <c r="J41" s="51"/>
    </row>
    <row r="42" spans="1:12" s="42" customFormat="1" ht="15" x14ac:dyDescent="0.3">
      <c r="A42" s="80" t="s">
        <v>115</v>
      </c>
      <c r="B42" s="62" t="s">
        <v>52</v>
      </c>
      <c r="C42" s="59">
        <f>B27</f>
        <v>1.3227719999999998E-3</v>
      </c>
      <c r="D42" s="59">
        <f>C42*$B$9</f>
        <v>2.7778211999999998E-3</v>
      </c>
      <c r="E42" s="55">
        <f>(D42/2000)*$B$10</f>
        <v>1.3889105999999999E-4</v>
      </c>
      <c r="F42" s="59">
        <f t="shared" si="1"/>
        <v>20.999957895839998</v>
      </c>
      <c r="G42" s="55">
        <f>F42/('Stack Parameters'!$D$40*(0.3048^3))</f>
        <v>0.52971893875491582</v>
      </c>
      <c r="I42" s="51"/>
      <c r="J42" s="51"/>
    </row>
    <row r="43" spans="1:12" s="42" customFormat="1" x14ac:dyDescent="0.25">
      <c r="A43" s="61" t="s">
        <v>63</v>
      </c>
      <c r="B43" s="62" t="s">
        <v>52</v>
      </c>
      <c r="C43" s="62" t="s">
        <v>52</v>
      </c>
      <c r="D43" s="63">
        <f>SUM(D40:D42)</f>
        <v>342.42942684719998</v>
      </c>
      <c r="E43" s="64">
        <f>SUM(E40:E42)</f>
        <v>17.121471342359996</v>
      </c>
      <c r="F43" s="63">
        <f t="shared" si="1"/>
        <v>2588720.8097079187</v>
      </c>
      <c r="G43" s="64">
        <f>F43/('Stack Parameters'!$D$40*(0.3048^3))</f>
        <v>65299.866164155159</v>
      </c>
      <c r="I43" s="51"/>
      <c r="J43" s="51"/>
    </row>
    <row r="44" spans="1:12" s="42" customFormat="1" ht="15.75" thickBot="1" x14ac:dyDescent="0.35">
      <c r="A44" s="65" t="s">
        <v>64</v>
      </c>
      <c r="B44" s="66" t="s">
        <v>52</v>
      </c>
      <c r="C44" s="62" t="s">
        <v>52</v>
      </c>
      <c r="D44" s="67">
        <f>SUM(D40*$B$28,D41*$B$29,D42*$B$30)</f>
        <v>343.58777828759992</v>
      </c>
      <c r="E44" s="68">
        <f>SUM(E40*$B$28,E41*$B$29,E42*$B$30)</f>
        <v>17.179388914379995</v>
      </c>
      <c r="F44" s="67">
        <f t="shared" si="1"/>
        <v>2597477.7921504835</v>
      </c>
      <c r="G44" s="68">
        <f>F44/('Stack Parameters'!$D$40*(0.3048^3))</f>
        <v>65520.758961615946</v>
      </c>
      <c r="I44" s="51"/>
      <c r="J44" s="51"/>
    </row>
    <row r="45" spans="1:12" ht="10.5" customHeight="1" x14ac:dyDescent="0.25">
      <c r="A45" s="637" t="s">
        <v>421</v>
      </c>
      <c r="B45" s="637"/>
      <c r="C45" s="637"/>
      <c r="D45" s="637"/>
      <c r="E45" s="637"/>
    </row>
    <row r="46" spans="1:12" ht="28.5" customHeight="1" x14ac:dyDescent="0.25">
      <c r="A46" s="638"/>
      <c r="B46" s="638"/>
      <c r="C46" s="638"/>
      <c r="D46" s="638"/>
      <c r="E46" s="638"/>
    </row>
    <row r="47" spans="1:12" s="42" customFormat="1" ht="27.75" customHeight="1" x14ac:dyDescent="0.25">
      <c r="A47" s="620" t="s">
        <v>181</v>
      </c>
      <c r="B47" s="620"/>
      <c r="C47" s="620"/>
      <c r="D47" s="620"/>
      <c r="E47" s="620"/>
      <c r="F47" s="132"/>
      <c r="G47" s="132"/>
      <c r="H47" s="130"/>
      <c r="I47" s="130"/>
      <c r="J47" s="130"/>
      <c r="K47" s="130"/>
      <c r="L47" s="130"/>
    </row>
    <row r="48" spans="1:12" s="42" customFormat="1" ht="13.5" customHeight="1" x14ac:dyDescent="0.25">
      <c r="A48" s="620" t="s">
        <v>182</v>
      </c>
      <c r="B48" s="620"/>
      <c r="C48" s="620"/>
      <c r="D48" s="620"/>
      <c r="E48" s="620"/>
      <c r="F48" s="132"/>
      <c r="G48" s="132"/>
      <c r="H48" s="130"/>
      <c r="I48" s="130"/>
      <c r="J48" s="130"/>
      <c r="K48" s="130"/>
      <c r="L48" s="130"/>
    </row>
    <row r="49" spans="1:7" s="42" customFormat="1" ht="30" customHeight="1" x14ac:dyDescent="0.25">
      <c r="A49" s="614" t="s">
        <v>183</v>
      </c>
      <c r="B49" s="614"/>
      <c r="C49" s="614"/>
      <c r="D49" s="614"/>
      <c r="E49" s="614"/>
      <c r="F49" s="133"/>
      <c r="G49" s="133"/>
    </row>
    <row r="50" spans="1:7" s="42" customFormat="1" ht="18" customHeight="1" x14ac:dyDescent="0.25">
      <c r="A50" s="162" t="s">
        <v>169</v>
      </c>
      <c r="B50" s="162"/>
      <c r="C50" s="162"/>
      <c r="D50" s="162"/>
      <c r="E50" s="162"/>
      <c r="F50" s="162"/>
      <c r="G50" s="162"/>
    </row>
    <row r="51" spans="1:7" s="42" customFormat="1" ht="18" customHeight="1" x14ac:dyDescent="0.25">
      <c r="A51" s="162" t="s">
        <v>184</v>
      </c>
      <c r="B51" s="162"/>
      <c r="C51" s="162"/>
      <c r="D51" s="162"/>
      <c r="E51" s="162"/>
      <c r="F51" s="162"/>
      <c r="G51" s="162"/>
    </row>
    <row r="52" spans="1:7" x14ac:dyDescent="0.25">
      <c r="A52" s="199"/>
      <c r="B52" s="182"/>
      <c r="C52" s="183"/>
      <c r="D52" s="184"/>
    </row>
    <row r="53" spans="1:7" ht="15" thickBot="1" x14ac:dyDescent="0.35">
      <c r="A53" s="168" t="s">
        <v>13</v>
      </c>
      <c r="B53" s="186"/>
      <c r="C53" s="187"/>
      <c r="D53" s="188"/>
    </row>
    <row r="54" spans="1:7" ht="30.75" thickBot="1" x14ac:dyDescent="0.35">
      <c r="A54" s="208" t="s">
        <v>2</v>
      </c>
      <c r="B54" s="209" t="s">
        <v>255</v>
      </c>
      <c r="C54" s="209" t="s">
        <v>4</v>
      </c>
      <c r="D54" s="210" t="s">
        <v>88</v>
      </c>
      <c r="E54" s="69" t="s">
        <v>417</v>
      </c>
      <c r="F54" s="70" t="s">
        <v>418</v>
      </c>
    </row>
    <row r="55" spans="1:7" x14ac:dyDescent="0.25">
      <c r="A55" s="172" t="s">
        <v>14</v>
      </c>
      <c r="B55" s="192">
        <v>7.67E-4</v>
      </c>
      <c r="C55" s="192">
        <f t="shared" ref="C55:C62" si="3">B55*$B$9</f>
        <v>1.6107000000000001E-3</v>
      </c>
      <c r="D55" s="191">
        <f t="shared" ref="D55:D62" si="4">(C55*$B$10)/2000</f>
        <v>8.0535000000000014E-5</v>
      </c>
      <c r="E55" s="192">
        <f>C55*$B$65*1000/60</f>
        <v>12.17667724</v>
      </c>
      <c r="F55" s="191">
        <f>E55/('Stack Parameters'!$D$40*(0.3048^3))</f>
        <v>0.30715378464695392</v>
      </c>
    </row>
    <row r="56" spans="1:7" ht="18" customHeight="1" x14ac:dyDescent="0.25">
      <c r="A56" s="172" t="s">
        <v>15</v>
      </c>
      <c r="B56" s="192">
        <v>7.8800000000000008E-6</v>
      </c>
      <c r="C56" s="192">
        <f t="shared" ref="C56" si="5">$B$10*B56</f>
        <v>7.8800000000000007E-4</v>
      </c>
      <c r="D56" s="193">
        <f t="shared" ref="D56" si="6">(C56*$B$11)/2000</f>
        <v>1.1820000000000001E-6</v>
      </c>
      <c r="E56" s="192">
        <f t="shared" ref="E56" si="7">C56*$B$66*1000/60</f>
        <v>18.38666666666667</v>
      </c>
      <c r="F56" s="193">
        <f>E56/('Stack Parameters'!$D$28*(0.3048^3))</f>
        <v>4.2453024220492769E-2</v>
      </c>
    </row>
    <row r="57" spans="1:7" x14ac:dyDescent="0.25">
      <c r="A57" s="172" t="s">
        <v>16</v>
      </c>
      <c r="B57" s="192">
        <v>9.3300000000000002E-4</v>
      </c>
      <c r="C57" s="192">
        <f t="shared" si="3"/>
        <v>1.9593000000000002E-3</v>
      </c>
      <c r="D57" s="191">
        <f t="shared" si="4"/>
        <v>9.7965000000000015E-5</v>
      </c>
      <c r="E57" s="192">
        <f t="shared" ref="E57:E62" si="8">C57*$B$65*1000/60</f>
        <v>14.812046759999999</v>
      </c>
      <c r="F57" s="191">
        <f>E57/('Stack Parameters'!$D$40*(0.3048^3))</f>
        <v>0.37363035342321771</v>
      </c>
    </row>
    <row r="58" spans="1:7" x14ac:dyDescent="0.25">
      <c r="A58" s="172" t="s">
        <v>17</v>
      </c>
      <c r="B58" s="192">
        <v>1.1800000000000001E-3</v>
      </c>
      <c r="C58" s="192">
        <f t="shared" si="3"/>
        <v>2.4780000000000002E-3</v>
      </c>
      <c r="D58" s="191">
        <f t="shared" si="4"/>
        <v>1.239E-4</v>
      </c>
      <c r="E58" s="192">
        <f t="shared" si="8"/>
        <v>18.7333496</v>
      </c>
      <c r="F58" s="191">
        <f>E58/('Stack Parameters'!$D$40*(0.3048^3))</f>
        <v>0.47254428407223681</v>
      </c>
    </row>
    <row r="59" spans="1:7" x14ac:dyDescent="0.25">
      <c r="A59" s="172" t="s">
        <v>18</v>
      </c>
      <c r="B59" s="205">
        <v>8.4800000000000001E-5</v>
      </c>
      <c r="C59" s="192">
        <f t="shared" si="3"/>
        <v>1.7808E-4</v>
      </c>
      <c r="D59" s="191">
        <f t="shared" si="4"/>
        <v>8.9039999999999998E-6</v>
      </c>
      <c r="E59" s="192">
        <f t="shared" si="8"/>
        <v>1.3462610559999999</v>
      </c>
      <c r="F59" s="191">
        <f>E59/('Stack Parameters'!$D$40*(0.3048^3))</f>
        <v>3.3959114651970913E-2</v>
      </c>
    </row>
    <row r="60" spans="1:7" x14ac:dyDescent="0.25">
      <c r="A60" s="172" t="s">
        <v>30</v>
      </c>
      <c r="B60" s="192">
        <v>1.6799999999999999E-4</v>
      </c>
      <c r="C60" s="192">
        <f t="shared" si="3"/>
        <v>3.5280000000000001E-4</v>
      </c>
      <c r="D60" s="191">
        <f t="shared" si="4"/>
        <v>1.7640000000000001E-5</v>
      </c>
      <c r="E60" s="192">
        <f t="shared" si="8"/>
        <v>2.6671209600000001</v>
      </c>
      <c r="F60" s="191">
        <f>E60/('Stack Parameters'!$D$40*(0.3048^3))</f>
        <v>6.7277491291640498E-2</v>
      </c>
    </row>
    <row r="61" spans="1:7" x14ac:dyDescent="0.25">
      <c r="A61" s="172" t="s">
        <v>19</v>
      </c>
      <c r="B61" s="192">
        <v>4.0900000000000002E-4</v>
      </c>
      <c r="C61" s="192">
        <f t="shared" si="3"/>
        <v>8.5890000000000011E-4</v>
      </c>
      <c r="D61" s="191">
        <f t="shared" si="4"/>
        <v>4.2945000000000003E-5</v>
      </c>
      <c r="E61" s="192">
        <f t="shared" si="8"/>
        <v>6.4931694800000006</v>
      </c>
      <c r="F61" s="191">
        <f>E61/('Stack Parameters'!$D$40*(0.3048^3))</f>
        <v>0.16378865439452955</v>
      </c>
    </row>
    <row r="62" spans="1:7" ht="14.25" thickBot="1" x14ac:dyDescent="0.3">
      <c r="A62" s="194" t="s">
        <v>20</v>
      </c>
      <c r="B62" s="195">
        <v>2.8499999999999999E-4</v>
      </c>
      <c r="C62" s="195">
        <f t="shared" si="3"/>
        <v>5.9849999999999997E-4</v>
      </c>
      <c r="D62" s="206">
        <f t="shared" si="4"/>
        <v>2.9924999999999996E-5</v>
      </c>
      <c r="E62" s="195">
        <f t="shared" si="8"/>
        <v>4.5245801999999991</v>
      </c>
      <c r="F62" s="206">
        <f>E62/('Stack Parameters'!$D$40*(0.3048^3))</f>
        <v>0.11413145844117581</v>
      </c>
    </row>
    <row r="63" spans="1:7" ht="33.75" customHeight="1" x14ac:dyDescent="0.25">
      <c r="A63" s="634" t="s">
        <v>259</v>
      </c>
      <c r="B63" s="634"/>
      <c r="C63" s="634"/>
      <c r="D63" s="634"/>
      <c r="E63" s="634"/>
    </row>
    <row r="64" spans="1:7" ht="15.75" x14ac:dyDescent="0.25">
      <c r="A64" s="44" t="s">
        <v>257</v>
      </c>
    </row>
    <row r="65" spans="1:2" ht="15.75" x14ac:dyDescent="0.25">
      <c r="A65" s="411" t="s">
        <v>415</v>
      </c>
      <c r="B65" s="48">
        <f>453.592</f>
        <v>453.59199999999998</v>
      </c>
    </row>
    <row r="66" spans="1:2" ht="15.75" x14ac:dyDescent="0.25">
      <c r="A66" s="42" t="s">
        <v>416</v>
      </c>
      <c r="B66" s="412">
        <f>'Stack Parameters'!D40</f>
        <v>1400</v>
      </c>
    </row>
    <row r="67" spans="1:2" x14ac:dyDescent="0.25">
      <c r="A67" s="197"/>
      <c r="B67" s="197"/>
    </row>
  </sheetData>
  <mergeCells count="5">
    <mergeCell ref="A49:E49"/>
    <mergeCell ref="A47:E47"/>
    <mergeCell ref="A48:E48"/>
    <mergeCell ref="A45:E46"/>
    <mergeCell ref="A63:E63"/>
  </mergeCells>
  <pageMargins left="0.25" right="0.25" top="0.57999999999999996" bottom="0.42" header="0.3" footer="0.3"/>
  <pageSetup scale="7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73"/>
  <sheetViews>
    <sheetView topLeftCell="A31" zoomScale="85" zoomScaleNormal="85" zoomScaleSheetLayoutView="85" workbookViewId="0">
      <selection activeCell="I41" sqref="I41"/>
    </sheetView>
  </sheetViews>
  <sheetFormatPr defaultColWidth="8.85546875" defaultRowHeight="13.5" x14ac:dyDescent="0.25"/>
  <cols>
    <col min="1" max="1" width="28.85546875" style="353" customWidth="1"/>
    <col min="2" max="5" width="14.28515625" style="353" customWidth="1"/>
    <col min="6" max="7" width="14.28515625" style="355" customWidth="1"/>
    <col min="8" max="8" width="13.42578125" style="355" customWidth="1"/>
    <col min="9" max="9" width="15.42578125" style="353" customWidth="1"/>
    <col min="10" max="10" width="14.28515625" style="355" customWidth="1"/>
    <col min="11" max="11" width="14.28515625" style="353" customWidth="1"/>
    <col min="12" max="12" width="14.28515625" style="354" customWidth="1"/>
    <col min="13" max="13" width="14.28515625" style="353" customWidth="1"/>
    <col min="14" max="14" width="19.140625" style="353" customWidth="1"/>
    <col min="15" max="18" width="14" style="353" customWidth="1"/>
    <col min="19" max="19" width="16.28515625" style="353" customWidth="1"/>
    <col min="20" max="16384" width="8.85546875" style="353"/>
  </cols>
  <sheetData>
    <row r="1" spans="1:18" ht="14.25" x14ac:dyDescent="0.3">
      <c r="A1" s="214" t="s">
        <v>419</v>
      </c>
      <c r="B1" s="407"/>
      <c r="C1" s="407"/>
      <c r="D1" s="407"/>
    </row>
    <row r="2" spans="1:18" ht="15" thickBot="1" x14ac:dyDescent="0.35">
      <c r="A2" s="406" t="s">
        <v>97</v>
      </c>
      <c r="E2" s="355"/>
      <c r="H2" s="353"/>
      <c r="I2" s="400"/>
      <c r="J2" s="353"/>
      <c r="K2" s="354"/>
      <c r="L2" s="353"/>
    </row>
    <row r="3" spans="1:18" s="400" customFormat="1" ht="44.25" thickBot="1" x14ac:dyDescent="0.35">
      <c r="A3" s="405" t="s">
        <v>22</v>
      </c>
      <c r="B3" s="402" t="s">
        <v>23</v>
      </c>
      <c r="C3" s="404" t="s">
        <v>400</v>
      </c>
      <c r="D3" s="404" t="s">
        <v>251</v>
      </c>
      <c r="E3" s="403" t="s">
        <v>79</v>
      </c>
      <c r="F3" s="220" t="s">
        <v>389</v>
      </c>
      <c r="G3" s="403" t="s">
        <v>48</v>
      </c>
      <c r="H3" s="437" t="s">
        <v>99</v>
      </c>
      <c r="I3" s="437" t="s">
        <v>441</v>
      </c>
      <c r="J3" s="401"/>
      <c r="K3" s="641" t="s">
        <v>399</v>
      </c>
      <c r="L3" s="642"/>
      <c r="M3" s="643"/>
      <c r="N3" s="380"/>
      <c r="O3" s="380"/>
    </row>
    <row r="4" spans="1:18" ht="14.25" customHeight="1" thickBot="1" x14ac:dyDescent="0.35">
      <c r="A4" s="399" t="s">
        <v>100</v>
      </c>
      <c r="B4" s="398" t="s">
        <v>24</v>
      </c>
      <c r="C4" s="563">
        <f>'HARRISON T218 REV D 10042016'!C82</f>
        <v>3496.2000000000003</v>
      </c>
      <c r="D4" s="563">
        <f>'HARRISON T218 REV D 10042016'!C83</f>
        <v>1001.3000000000001</v>
      </c>
      <c r="E4" s="217">
        <f>'Auxiliary Boiler '!B6</f>
        <v>77.773990725586458</v>
      </c>
      <c r="F4" s="217">
        <f>'Fuel Gas Heater'!B6</f>
        <v>5.4700588714428635</v>
      </c>
      <c r="G4" s="217">
        <f>'Emergency Generator'!B10</f>
        <v>19.32</v>
      </c>
      <c r="H4" s="438">
        <f>'Fire Water Pump '!B9</f>
        <v>2.1</v>
      </c>
      <c r="I4" s="639">
        <v>0.9</v>
      </c>
      <c r="J4" s="354"/>
      <c r="K4" s="644"/>
      <c r="L4" s="645"/>
      <c r="M4" s="646"/>
      <c r="N4" s="380"/>
      <c r="O4" s="380"/>
    </row>
    <row r="5" spans="1:18" ht="15" thickBot="1" x14ac:dyDescent="0.35">
      <c r="A5" s="397" t="s">
        <v>117</v>
      </c>
      <c r="B5" s="396" t="s">
        <v>98</v>
      </c>
      <c r="C5" s="218">
        <f>'CT - Steady State'!B9</f>
        <v>8760</v>
      </c>
      <c r="D5" s="218">
        <f>8760</f>
        <v>8760</v>
      </c>
      <c r="E5" s="218">
        <f>'Auxiliary Boiler '!B12</f>
        <v>4576</v>
      </c>
      <c r="F5" s="218">
        <f>'Fuel Gas Heater'!B12</f>
        <v>8760</v>
      </c>
      <c r="G5" s="219">
        <f>'Emergency Generator'!B11</f>
        <v>100</v>
      </c>
      <c r="H5" s="439">
        <f>'Fire Water Pump '!B10</f>
        <v>100</v>
      </c>
      <c r="I5" s="640"/>
      <c r="J5" s="354"/>
      <c r="K5" s="648" t="s">
        <v>398</v>
      </c>
      <c r="L5" s="395" t="s">
        <v>397</v>
      </c>
      <c r="M5" s="534">
        <v>453.59199999999998</v>
      </c>
      <c r="N5" s="380"/>
      <c r="O5" s="380"/>
    </row>
    <row r="6" spans="1:18" ht="17.25" thickBot="1" x14ac:dyDescent="0.35">
      <c r="A6" s="394"/>
      <c r="B6" s="393"/>
      <c r="C6" s="393"/>
      <c r="E6" s="356"/>
      <c r="H6" s="353"/>
      <c r="I6" s="400"/>
      <c r="J6" s="353"/>
      <c r="K6" s="649"/>
      <c r="L6" s="392" t="s">
        <v>396</v>
      </c>
      <c r="M6" s="391">
        <v>0.30480000000000002</v>
      </c>
      <c r="N6" s="380"/>
      <c r="O6" s="380"/>
    </row>
    <row r="7" spans="1:18" ht="3.75" customHeight="1" x14ac:dyDescent="0.3">
      <c r="A7" s="390"/>
      <c r="B7" s="356"/>
      <c r="C7" s="356"/>
      <c r="E7" s="356"/>
      <c r="H7" s="353"/>
      <c r="I7" s="355"/>
      <c r="J7" s="353"/>
      <c r="K7" s="354"/>
      <c r="L7" s="389"/>
      <c r="Q7" s="380"/>
      <c r="R7" s="380"/>
    </row>
    <row r="8" spans="1:18" ht="3.75" customHeight="1" thickBot="1" x14ac:dyDescent="0.3">
      <c r="E8" s="355"/>
      <c r="H8" s="353"/>
      <c r="I8" s="355"/>
      <c r="J8" s="353"/>
      <c r="K8" s="354"/>
      <c r="L8" s="353"/>
    </row>
    <row r="9" spans="1:18" s="380" customFormat="1" ht="57.75" thickBot="1" x14ac:dyDescent="0.35">
      <c r="A9" s="388" t="s">
        <v>25</v>
      </c>
      <c r="B9" s="377" t="s">
        <v>189</v>
      </c>
      <c r="C9" s="377" t="s">
        <v>260</v>
      </c>
      <c r="D9" s="377" t="s">
        <v>190</v>
      </c>
      <c r="E9" s="377" t="s">
        <v>261</v>
      </c>
      <c r="F9" s="377" t="s">
        <v>442</v>
      </c>
      <c r="G9" s="377" t="s">
        <v>191</v>
      </c>
      <c r="H9" s="377" t="s">
        <v>262</v>
      </c>
      <c r="I9" s="377" t="s">
        <v>263</v>
      </c>
      <c r="J9" s="69" t="s">
        <v>395</v>
      </c>
      <c r="K9" s="69" t="s">
        <v>394</v>
      </c>
      <c r="L9" s="69" t="s">
        <v>393</v>
      </c>
      <c r="M9" s="69" t="s">
        <v>392</v>
      </c>
      <c r="N9" s="441" t="s">
        <v>461</v>
      </c>
      <c r="O9" s="388" t="s">
        <v>498</v>
      </c>
      <c r="P9" s="569" t="s">
        <v>499</v>
      </c>
      <c r="Q9" s="377" t="s">
        <v>501</v>
      </c>
      <c r="R9" s="377" t="s">
        <v>502</v>
      </c>
    </row>
    <row r="10" spans="1:18" s="380" customFormat="1" ht="14.25" x14ac:dyDescent="0.3">
      <c r="A10" s="105" t="s">
        <v>252</v>
      </c>
      <c r="B10" s="385" t="s">
        <v>26</v>
      </c>
      <c r="C10" s="106">
        <v>2.4000000000000001E-5</v>
      </c>
      <c r="D10" s="384" t="str">
        <f>IF(ISNUMBER(B10),(B10*$C$4*(1-$I$4)),"NA")</f>
        <v>NA</v>
      </c>
      <c r="E10" s="107">
        <f>IF(ISNUMBER(C10),(C10*$D$4*(1-$I$4)/1030),"NA")</f>
        <v>2.333126213592233E-6</v>
      </c>
      <c r="F10" s="374">
        <f>E10</f>
        <v>2.333126213592233E-6</v>
      </c>
      <c r="G10" s="366" t="str">
        <f>IF(ISNUMBER($D10),($D10*$C$5/2000),"NA")</f>
        <v>NA</v>
      </c>
      <c r="H10" s="366">
        <f>IF(ISNUMBER($E10),($E10*$D$5/2000),"NA")</f>
        <v>1.0219092815533981E-5</v>
      </c>
      <c r="I10" s="467">
        <f>H10</f>
        <v>1.0219092815533981E-5</v>
      </c>
      <c r="J10" s="468" t="str">
        <f t="shared" ref="J10:J32" si="0">IF(ISNUMBER(D10),(D10*$M$5*1000/60),"NA")</f>
        <v>NA</v>
      </c>
      <c r="K10" s="374" t="str">
        <f>IF(ISNUMBER(J10),(J10/('Stack Parameters'!$D$2*($M$6^3))),"NA")</f>
        <v>NA</v>
      </c>
      <c r="L10" s="374">
        <f t="shared" ref="L10:L32" si="1">IF(ISNUMBER(E10),(E10*$M$5*1000/60),"NA")</f>
        <v>1.7638123091262135E-2</v>
      </c>
      <c r="M10" s="374">
        <f>IF(ISNUMBER(L10),(L10/('Stack Parameters'!$D$2*($M$6^3))),"NA")</f>
        <v>3.5928731314776826E-7</v>
      </c>
      <c r="N10" s="469">
        <f>M10</f>
        <v>3.5928731314776826E-7</v>
      </c>
      <c r="O10" s="570" t="str">
        <f>IF(ISNUMBER(B10),(B10*$C$4),"NA")</f>
        <v>NA</v>
      </c>
      <c r="P10" s="571">
        <f>IF(ISNUMBER(C10),(C10*$D$4/1030),"NA")</f>
        <v>2.3331262135922331E-5</v>
      </c>
      <c r="Q10" s="374">
        <f>P10</f>
        <v>2.3331262135922331E-5</v>
      </c>
      <c r="R10" s="374">
        <f>Q10*$C$5/2000</f>
        <v>1.0219092815533981E-4</v>
      </c>
    </row>
    <row r="11" spans="1:18" s="380" customFormat="1" ht="14.25" x14ac:dyDescent="0.3">
      <c r="A11" s="372" t="s">
        <v>14</v>
      </c>
      <c r="B11" s="385">
        <v>4.0000000000000003E-5</v>
      </c>
      <c r="C11" s="385" t="s">
        <v>26</v>
      </c>
      <c r="D11" s="366">
        <f>IF(ISNUMBER(B11),(B11*$C$4*(1-$I$4)),"NA")</f>
        <v>1.39848E-2</v>
      </c>
      <c r="E11" s="366" t="str">
        <f>IF(ISNUMBER(C11),(C11*$D$4*(1-$I$4)/1030),"NA")</f>
        <v>NA</v>
      </c>
      <c r="F11" s="366">
        <f>D11</f>
        <v>1.39848E-2</v>
      </c>
      <c r="G11" s="366">
        <f t="shared" ref="G11:G32" si="2">IF(ISNUMBER($D11),($D11*$C$5/2000),"NA")</f>
        <v>6.1253424000000001E-2</v>
      </c>
      <c r="H11" s="366" t="str">
        <f t="shared" ref="H11:H32" si="3">IF(ISNUMBER($E11),($E11*$D$5/2000),"NA")</f>
        <v>NA</v>
      </c>
      <c r="I11" s="383">
        <f>G11</f>
        <v>6.1253424000000001E-2</v>
      </c>
      <c r="J11" s="535">
        <f t="shared" si="0"/>
        <v>105.72322336000001</v>
      </c>
      <c r="K11" s="366">
        <f>IF(ISNUMBER(J11),(J11/('Stack Parameters'!$D$2*($M$6^3))),"NA")</f>
        <v>2.1535745420187828E-3</v>
      </c>
      <c r="L11" s="366" t="str">
        <f t="shared" si="1"/>
        <v>NA</v>
      </c>
      <c r="M11" s="366" t="str">
        <f>IF(ISNUMBER(L11),(L11/('Stack Parameters'!$D$2*($M$6^3))),"NA")</f>
        <v>NA</v>
      </c>
      <c r="N11" s="470">
        <f>K11</f>
        <v>2.1535745420187828E-3</v>
      </c>
      <c r="O11" s="570">
        <f t="shared" ref="O11:O32" si="4">IF(ISNUMBER(B11),(B11*$C$4),"NA")</f>
        <v>0.13984800000000003</v>
      </c>
      <c r="P11" s="571" t="str">
        <f t="shared" ref="P11:P32" si="5">IF(ISNUMBER(C11),(C11*$D$4/1030),"NA")</f>
        <v>NA</v>
      </c>
      <c r="Q11" s="366">
        <f>O11</f>
        <v>0.13984800000000003</v>
      </c>
      <c r="R11" s="366">
        <f t="shared" ref="R11:R32" si="6">Q11*$C$5/2000</f>
        <v>0.61253424000000012</v>
      </c>
    </row>
    <row r="12" spans="1:18" s="380" customFormat="1" ht="14.25" x14ac:dyDescent="0.3">
      <c r="A12" s="372" t="s">
        <v>15</v>
      </c>
      <c r="B12" s="385">
        <v>6.3999999999999997E-6</v>
      </c>
      <c r="C12" s="385" t="s">
        <v>26</v>
      </c>
      <c r="D12" s="366">
        <f>IF(ISNUMBER(B12),(B12*$C$4*(1-$I$4)),"NA")</f>
        <v>2.2375679999999997E-3</v>
      </c>
      <c r="E12" s="366" t="str">
        <f>IF(ISNUMBER(C12),(C12*$D$4*(1-$I$4)/1030),"NA")</f>
        <v>NA</v>
      </c>
      <c r="F12" s="366">
        <f>D12</f>
        <v>2.2375679999999997E-3</v>
      </c>
      <c r="G12" s="366">
        <f t="shared" si="2"/>
        <v>9.8005478399999981E-3</v>
      </c>
      <c r="H12" s="366" t="str">
        <f t="shared" si="3"/>
        <v>NA</v>
      </c>
      <c r="I12" s="383">
        <f>G12</f>
        <v>9.8005478399999981E-3</v>
      </c>
      <c r="J12" s="535">
        <f t="shared" si="0"/>
        <v>16.915715737599996</v>
      </c>
      <c r="K12" s="366">
        <f>IF(ISNUMBER(J12),(J12/('Stack Parameters'!$D$2*($M$6^3))),"NA")</f>
        <v>3.4457192672300514E-4</v>
      </c>
      <c r="L12" s="366" t="str">
        <f t="shared" si="1"/>
        <v>NA</v>
      </c>
      <c r="M12" s="366" t="str">
        <f>IF(ISNUMBER(L12),(L12/('Stack Parameters'!$D$2*($M$6^3))),"NA")</f>
        <v>NA</v>
      </c>
      <c r="N12" s="470">
        <f>K12</f>
        <v>3.4457192672300514E-4</v>
      </c>
      <c r="O12" s="570">
        <f t="shared" si="4"/>
        <v>2.2375680000000002E-2</v>
      </c>
      <c r="P12" s="571" t="str">
        <f t="shared" si="5"/>
        <v>NA</v>
      </c>
      <c r="Q12" s="366">
        <f>O12</f>
        <v>2.2375680000000002E-2</v>
      </c>
      <c r="R12" s="366">
        <f t="shared" si="6"/>
        <v>9.8005478400000012E-2</v>
      </c>
    </row>
    <row r="13" spans="1:18" s="380" customFormat="1" ht="14.25" x14ac:dyDescent="0.3">
      <c r="A13" s="105" t="s">
        <v>69</v>
      </c>
      <c r="B13" s="385" t="s">
        <v>26</v>
      </c>
      <c r="C13" s="106">
        <v>2.0000000000000001E-4</v>
      </c>
      <c r="D13" s="366" t="str">
        <f t="shared" ref="D13:D27" si="7">IF(ISNUMBER(B13),(B13*$C$4),"NA")</f>
        <v>NA</v>
      </c>
      <c r="E13" s="107">
        <f t="shared" ref="E13:E27" si="8">IF(ISNUMBER(C13),(C13*$D$4/1030),"NA")</f>
        <v>1.9442718446601945E-4</v>
      </c>
      <c r="F13" s="366">
        <f>E13</f>
        <v>1.9442718446601945E-4</v>
      </c>
      <c r="G13" s="366" t="str">
        <f t="shared" si="2"/>
        <v>NA</v>
      </c>
      <c r="H13" s="366">
        <f t="shared" si="3"/>
        <v>8.5159106796116508E-4</v>
      </c>
      <c r="I13" s="383">
        <f>H13</f>
        <v>8.5159106796116508E-4</v>
      </c>
      <c r="J13" s="384" t="str">
        <f t="shared" si="0"/>
        <v>NA</v>
      </c>
      <c r="K13" s="366" t="str">
        <f>IF(ISNUMBER(J13),(J13/('Stack Parameters'!$D$2*($M$6^3))),"NA")</f>
        <v>NA</v>
      </c>
      <c r="L13" s="366">
        <f t="shared" si="1"/>
        <v>1.4698435909385112</v>
      </c>
      <c r="M13" s="366">
        <f>IF(ISNUMBER(L13),(L13/('Stack Parameters'!$D$2*($M$6^3))),"NA")</f>
        <v>2.9940609428980691E-5</v>
      </c>
      <c r="N13" s="470">
        <f>M13</f>
        <v>2.9940609428980691E-5</v>
      </c>
      <c r="O13" s="570" t="str">
        <f t="shared" si="4"/>
        <v>NA</v>
      </c>
      <c r="P13" s="571">
        <f t="shared" si="5"/>
        <v>1.9442718446601945E-4</v>
      </c>
      <c r="Q13" s="366">
        <f>P13</f>
        <v>1.9442718446601945E-4</v>
      </c>
      <c r="R13" s="366">
        <f t="shared" si="6"/>
        <v>8.5159106796116508E-4</v>
      </c>
    </row>
    <row r="14" spans="1:18" s="380" customFormat="1" ht="14.25" x14ac:dyDescent="0.3">
      <c r="A14" s="105" t="s">
        <v>16</v>
      </c>
      <c r="B14" s="385">
        <v>1.2E-5</v>
      </c>
      <c r="C14" s="106">
        <v>2.0999999999999999E-3</v>
      </c>
      <c r="D14" s="366">
        <f>IF(ISNUMBER(B14),(B14*$C$4*(1-$I$4)),"NA")</f>
        <v>4.1954399999999991E-3</v>
      </c>
      <c r="E14" s="107">
        <f>IF(ISNUMBER(C14),(C14*$D$4*(1-$I$4)/1030),"NA")</f>
        <v>2.0414854368932037E-4</v>
      </c>
      <c r="F14" s="366">
        <f>D14+E14</f>
        <v>4.3995885436893195E-3</v>
      </c>
      <c r="G14" s="366">
        <f>IF(ISNUMBER($D14),($D14*$C$5/2000),"NA")</f>
        <v>1.8376027199999995E-2</v>
      </c>
      <c r="H14" s="366">
        <f>IF(ISNUMBER($E14),($E14*$D$5/2000),"NA")</f>
        <v>8.941706213592232E-4</v>
      </c>
      <c r="I14" s="383">
        <f>G14+H14</f>
        <v>1.927019782135922E-2</v>
      </c>
      <c r="J14" s="535">
        <f t="shared" si="0"/>
        <v>31.716967007999994</v>
      </c>
      <c r="K14" s="366">
        <f>IF(ISNUMBER(J14),(J14/('Stack Parameters'!$D$2*($M$6^3))),"NA")</f>
        <v>6.4607236260563468E-4</v>
      </c>
      <c r="L14" s="366">
        <f t="shared" si="1"/>
        <v>1.5433357704854367</v>
      </c>
      <c r="M14" s="366">
        <f>IF(ISNUMBER(L14),(L14/('Stack Parameters'!$D$2*($M$6^3))),"NA")</f>
        <v>3.143763990042972E-5</v>
      </c>
      <c r="N14" s="470">
        <f>K14+M14</f>
        <v>6.7751000250606435E-4</v>
      </c>
      <c r="O14" s="570">
        <f t="shared" si="4"/>
        <v>4.1954400000000003E-2</v>
      </c>
      <c r="P14" s="571">
        <f t="shared" si="5"/>
        <v>2.0414854368932039E-3</v>
      </c>
      <c r="Q14" s="366">
        <f>O14+P14</f>
        <v>4.3995885436893208E-2</v>
      </c>
      <c r="R14" s="366">
        <f t="shared" si="6"/>
        <v>0.19270197821359225</v>
      </c>
    </row>
    <row r="15" spans="1:18" s="380" customFormat="1" ht="14.25" x14ac:dyDescent="0.3">
      <c r="A15" s="105" t="s">
        <v>194</v>
      </c>
      <c r="B15" s="385" t="s">
        <v>26</v>
      </c>
      <c r="C15" s="106">
        <v>1.1000000000000001E-3</v>
      </c>
      <c r="D15" s="366" t="str">
        <f t="shared" si="7"/>
        <v>NA</v>
      </c>
      <c r="E15" s="107">
        <f t="shared" si="8"/>
        <v>1.069349514563107E-3</v>
      </c>
      <c r="F15" s="366">
        <f t="shared" ref="F15:F18" si="9">E15</f>
        <v>1.069349514563107E-3</v>
      </c>
      <c r="G15" s="366" t="str">
        <f t="shared" si="2"/>
        <v>NA</v>
      </c>
      <c r="H15" s="366">
        <f>IF(ISNUMBER($E15),($E15*$D$5/2000),"NA")</f>
        <v>4.6837508737864082E-3</v>
      </c>
      <c r="I15" s="383">
        <f>H15</f>
        <v>4.6837508737864082E-3</v>
      </c>
      <c r="J15" s="384" t="str">
        <f t="shared" si="0"/>
        <v>NA</v>
      </c>
      <c r="K15" s="366" t="str">
        <f>IF(ISNUMBER(J15),(J15/('Stack Parameters'!$D$2*($M$6^3))),"NA")</f>
        <v>NA</v>
      </c>
      <c r="L15" s="366">
        <f t="shared" si="1"/>
        <v>8.084139750161814</v>
      </c>
      <c r="M15" s="366">
        <f>IF(ISNUMBER(L15),(L15/('Stack Parameters'!$D$2*($M$6^3))),"NA")</f>
        <v>1.6467335185939384E-4</v>
      </c>
      <c r="N15" s="470">
        <f>M15</f>
        <v>1.6467335185939384E-4</v>
      </c>
      <c r="O15" s="570" t="str">
        <f t="shared" si="4"/>
        <v>NA</v>
      </c>
      <c r="P15" s="571">
        <f t="shared" si="5"/>
        <v>1.069349514563107E-3</v>
      </c>
      <c r="Q15" s="366">
        <f t="shared" ref="Q15:Q18" si="10">P15</f>
        <v>1.069349514563107E-3</v>
      </c>
      <c r="R15" s="366">
        <f t="shared" si="6"/>
        <v>4.6837508737864082E-3</v>
      </c>
    </row>
    <row r="16" spans="1:18" s="380" customFormat="1" ht="14.25" x14ac:dyDescent="0.3">
      <c r="A16" s="105" t="s">
        <v>70</v>
      </c>
      <c r="B16" s="385" t="s">
        <v>26</v>
      </c>
      <c r="C16" s="106">
        <v>1.4E-3</v>
      </c>
      <c r="D16" s="366" t="str">
        <f t="shared" si="7"/>
        <v>NA</v>
      </c>
      <c r="E16" s="107">
        <f t="shared" si="8"/>
        <v>1.360990291262136E-3</v>
      </c>
      <c r="F16" s="366">
        <f t="shared" si="9"/>
        <v>1.360990291262136E-3</v>
      </c>
      <c r="G16" s="366" t="str">
        <f t="shared" si="2"/>
        <v>NA</v>
      </c>
      <c r="H16" s="366">
        <f t="shared" si="3"/>
        <v>5.9611374757281557E-3</v>
      </c>
      <c r="I16" s="383">
        <f>H16</f>
        <v>5.9611374757281557E-3</v>
      </c>
      <c r="J16" s="384" t="str">
        <f t="shared" si="0"/>
        <v>NA</v>
      </c>
      <c r="K16" s="366" t="str">
        <f>IF(ISNUMBER(J16),(J16/('Stack Parameters'!$D$2*($M$6^3))),"NA")</f>
        <v>NA</v>
      </c>
      <c r="L16" s="366">
        <f t="shared" si="1"/>
        <v>10.28890513656958</v>
      </c>
      <c r="M16" s="366">
        <f>IF(ISNUMBER(L16),(L16/('Stack Parameters'!$D$2*($M$6^3))),"NA")</f>
        <v>2.0958426600286485E-4</v>
      </c>
      <c r="N16" s="470">
        <f>M16</f>
        <v>2.0958426600286485E-4</v>
      </c>
      <c r="O16" s="570" t="str">
        <f t="shared" si="4"/>
        <v>NA</v>
      </c>
      <c r="P16" s="571">
        <f t="shared" si="5"/>
        <v>1.360990291262136E-3</v>
      </c>
      <c r="Q16" s="366">
        <f t="shared" si="10"/>
        <v>1.360990291262136E-3</v>
      </c>
      <c r="R16" s="366">
        <f t="shared" si="6"/>
        <v>5.9611374757281557E-3</v>
      </c>
    </row>
    <row r="17" spans="1:18" s="380" customFormat="1" ht="14.25" x14ac:dyDescent="0.3">
      <c r="A17" s="105" t="s">
        <v>71</v>
      </c>
      <c r="B17" s="385" t="s">
        <v>26</v>
      </c>
      <c r="C17" s="106">
        <v>8.3999999999999995E-5</v>
      </c>
      <c r="D17" s="366" t="str">
        <f t="shared" si="7"/>
        <v>NA</v>
      </c>
      <c r="E17" s="107">
        <f t="shared" si="8"/>
        <v>8.1659417475728153E-5</v>
      </c>
      <c r="F17" s="366">
        <f t="shared" si="9"/>
        <v>8.1659417475728153E-5</v>
      </c>
      <c r="G17" s="366" t="str">
        <f t="shared" si="2"/>
        <v>NA</v>
      </c>
      <c r="H17" s="366">
        <f t="shared" si="3"/>
        <v>3.5766824854368932E-4</v>
      </c>
      <c r="I17" s="383">
        <f>H17</f>
        <v>3.5766824854368932E-4</v>
      </c>
      <c r="J17" s="384" t="str">
        <f t="shared" si="0"/>
        <v>NA</v>
      </c>
      <c r="K17" s="366" t="str">
        <f>IF(ISNUMBER(J17),(J17/('Stack Parameters'!$D$2*($M$6^3))),"NA")</f>
        <v>NA</v>
      </c>
      <c r="L17" s="366">
        <f t="shared" si="1"/>
        <v>0.61733430819417479</v>
      </c>
      <c r="M17" s="366">
        <f>IF(ISNUMBER(L17),(L17/('Stack Parameters'!$D$2*($M$6^3))),"NA")</f>
        <v>1.2575055960171891E-5</v>
      </c>
      <c r="N17" s="470">
        <f>M17</f>
        <v>1.2575055960171891E-5</v>
      </c>
      <c r="O17" s="570" t="str">
        <f t="shared" si="4"/>
        <v>NA</v>
      </c>
      <c r="P17" s="571">
        <f t="shared" si="5"/>
        <v>8.1659417475728153E-5</v>
      </c>
      <c r="Q17" s="366">
        <f t="shared" si="10"/>
        <v>8.1659417475728153E-5</v>
      </c>
      <c r="R17" s="366">
        <f t="shared" si="6"/>
        <v>3.5766824854368932E-4</v>
      </c>
    </row>
    <row r="18" spans="1:18" s="380" customFormat="1" ht="14.25" x14ac:dyDescent="0.3">
      <c r="A18" s="105" t="s">
        <v>27</v>
      </c>
      <c r="B18" s="385" t="s">
        <v>26</v>
      </c>
      <c r="C18" s="106">
        <v>1.1999999999999999E-3</v>
      </c>
      <c r="D18" s="366" t="str">
        <f>IF(ISNUMBER(B18),(B18*$C$4*(1-$I$4)),"NA")</f>
        <v>NA</v>
      </c>
      <c r="E18" s="107">
        <f t="shared" ref="E18:E23" si="11">IF(ISNUMBER(C18),(C18*$D$4*(1-$I$4)/1030),"NA")</f>
        <v>1.1665631067961162E-4</v>
      </c>
      <c r="F18" s="366">
        <f t="shared" si="9"/>
        <v>1.1665631067961162E-4</v>
      </c>
      <c r="G18" s="366" t="str">
        <f t="shared" si="2"/>
        <v>NA</v>
      </c>
      <c r="H18" s="366">
        <f t="shared" si="3"/>
        <v>5.1095464077669894E-4</v>
      </c>
      <c r="I18" s="383">
        <f>H18</f>
        <v>5.1095464077669894E-4</v>
      </c>
      <c r="J18" s="384" t="str">
        <f t="shared" si="0"/>
        <v>NA</v>
      </c>
      <c r="K18" s="366" t="str">
        <f>IF(ISNUMBER(J18),(J18/('Stack Parameters'!$D$2*($M$6^3))),"NA")</f>
        <v>NA</v>
      </c>
      <c r="L18" s="366">
        <f t="shared" si="1"/>
        <v>0.8819061545631065</v>
      </c>
      <c r="M18" s="366">
        <f>IF(ISNUMBER(L18),(L18/('Stack Parameters'!$D$2*($M$6^3))),"NA")</f>
        <v>1.7964365657388408E-5</v>
      </c>
      <c r="N18" s="470">
        <f>M18</f>
        <v>1.7964365657388408E-5</v>
      </c>
      <c r="O18" s="570" t="str">
        <f t="shared" si="4"/>
        <v>NA</v>
      </c>
      <c r="P18" s="571">
        <f t="shared" si="5"/>
        <v>1.1665631067961165E-3</v>
      </c>
      <c r="Q18" s="366">
        <f t="shared" si="10"/>
        <v>1.1665631067961165E-3</v>
      </c>
      <c r="R18" s="366">
        <f t="shared" si="6"/>
        <v>5.1095464077669898E-3</v>
      </c>
    </row>
    <row r="19" spans="1:18" s="380" customFormat="1" ht="14.25" x14ac:dyDescent="0.3">
      <c r="A19" s="372" t="s">
        <v>28</v>
      </c>
      <c r="B19" s="385">
        <v>3.1999999999999999E-5</v>
      </c>
      <c r="C19" s="385" t="s">
        <v>26</v>
      </c>
      <c r="D19" s="366">
        <f>IF(ISNUMBER(B19),(B19*$C$4*(1-$I$4)),"NA")</f>
        <v>1.1187839999999998E-2</v>
      </c>
      <c r="E19" s="366" t="str">
        <f t="shared" si="11"/>
        <v>NA</v>
      </c>
      <c r="F19" s="366">
        <f>D19</f>
        <v>1.1187839999999998E-2</v>
      </c>
      <c r="G19" s="366">
        <f t="shared" si="2"/>
        <v>4.9002739199999985E-2</v>
      </c>
      <c r="H19" s="366" t="str">
        <f t="shared" si="3"/>
        <v>NA</v>
      </c>
      <c r="I19" s="383">
        <f>G19</f>
        <v>4.9002739199999985E-2</v>
      </c>
      <c r="J19" s="535">
        <f t="shared" si="0"/>
        <v>84.578578687999965</v>
      </c>
      <c r="K19" s="366">
        <f>IF(ISNUMBER(J19),(J19/('Stack Parameters'!$D$2*($M$6^3))),"NA")</f>
        <v>1.7228596336150254E-3</v>
      </c>
      <c r="L19" s="366" t="str">
        <f t="shared" si="1"/>
        <v>NA</v>
      </c>
      <c r="M19" s="366" t="str">
        <f>IF(ISNUMBER(L19),(L19/('Stack Parameters'!$D$2*($M$6^3))),"NA")</f>
        <v>NA</v>
      </c>
      <c r="N19" s="470">
        <f>K19</f>
        <v>1.7228596336150254E-3</v>
      </c>
      <c r="O19" s="570">
        <f t="shared" si="4"/>
        <v>0.1118784</v>
      </c>
      <c r="P19" s="571" t="str">
        <f t="shared" si="5"/>
        <v>NA</v>
      </c>
      <c r="Q19" s="366">
        <f>O19</f>
        <v>0.1118784</v>
      </c>
      <c r="R19" s="366">
        <f t="shared" si="6"/>
        <v>0.49002739200000001</v>
      </c>
    </row>
    <row r="20" spans="1:18" s="380" customFormat="1" ht="14.25" x14ac:dyDescent="0.3">
      <c r="A20" s="105" t="s">
        <v>72</v>
      </c>
      <c r="B20" s="385" t="s">
        <v>26</v>
      </c>
      <c r="C20" s="106">
        <v>3.0000000000000001E-6</v>
      </c>
      <c r="D20" s="366" t="str">
        <f>IF(ISNUMBER(B20),(B20*$C$4*(1-$I$4)),"NA")</f>
        <v>NA</v>
      </c>
      <c r="E20" s="107">
        <f t="shared" si="11"/>
        <v>2.9164077669902913E-7</v>
      </c>
      <c r="F20" s="366">
        <f t="shared" ref="F20:F21" si="12">E20</f>
        <v>2.9164077669902913E-7</v>
      </c>
      <c r="G20" s="366" t="str">
        <f t="shared" si="2"/>
        <v>NA</v>
      </c>
      <c r="H20" s="366">
        <f t="shared" si="3"/>
        <v>1.2773866019417476E-6</v>
      </c>
      <c r="I20" s="383">
        <f>H20</f>
        <v>1.2773866019417476E-6</v>
      </c>
      <c r="J20" s="384" t="str">
        <f t="shared" si="0"/>
        <v>NA</v>
      </c>
      <c r="K20" s="366" t="str">
        <f>IF(ISNUMBER(J20),(J20/('Stack Parameters'!$D$2*($M$6^3))),"NA")</f>
        <v>NA</v>
      </c>
      <c r="L20" s="366">
        <f t="shared" si="1"/>
        <v>2.2047653864077669E-3</v>
      </c>
      <c r="M20" s="366">
        <f>IF(ISNUMBER(L20),(L20/('Stack Parameters'!$D$2*($M$6^3))),"NA")</f>
        <v>4.4910914143471033E-8</v>
      </c>
      <c r="N20" s="470">
        <f>M20</f>
        <v>4.4910914143471033E-8</v>
      </c>
      <c r="O20" s="570" t="str">
        <f t="shared" si="4"/>
        <v>NA</v>
      </c>
      <c r="P20" s="571">
        <f t="shared" si="5"/>
        <v>2.9164077669902914E-6</v>
      </c>
      <c r="Q20" s="366">
        <f t="shared" ref="Q20:Q21" si="13">P20</f>
        <v>2.9164077669902914E-6</v>
      </c>
      <c r="R20" s="366">
        <f t="shared" si="6"/>
        <v>1.2773866019417477E-5</v>
      </c>
    </row>
    <row r="21" spans="1:18" s="380" customFormat="1" ht="14.25" x14ac:dyDescent="0.3">
      <c r="A21" s="105" t="s">
        <v>73</v>
      </c>
      <c r="B21" s="385" t="s">
        <v>26</v>
      </c>
      <c r="C21" s="106">
        <v>2.7999999999999999E-6</v>
      </c>
      <c r="D21" s="366" t="str">
        <f>IF(ISNUMBER(B21),(B21*$C$4*(1-$I$4)),"NA")</f>
        <v>NA</v>
      </c>
      <c r="E21" s="107">
        <f t="shared" si="11"/>
        <v>2.7219805825242716E-7</v>
      </c>
      <c r="F21" s="366">
        <f t="shared" si="12"/>
        <v>2.7219805825242716E-7</v>
      </c>
      <c r="G21" s="366" t="str">
        <f t="shared" si="2"/>
        <v>NA</v>
      </c>
      <c r="H21" s="366">
        <f t="shared" si="3"/>
        <v>1.1922274951456311E-6</v>
      </c>
      <c r="I21" s="383">
        <f>H21</f>
        <v>1.1922274951456311E-6</v>
      </c>
      <c r="J21" s="384" t="str">
        <f t="shared" si="0"/>
        <v>NA</v>
      </c>
      <c r="K21" s="366" t="str">
        <f>IF(ISNUMBER(J21),(J21/('Stack Parameters'!$D$2*($M$6^3))),"NA")</f>
        <v>NA</v>
      </c>
      <c r="L21" s="366">
        <f t="shared" si="1"/>
        <v>2.0577810273139157E-3</v>
      </c>
      <c r="M21" s="366">
        <f>IF(ISNUMBER(L21),(L21/('Stack Parameters'!$D$2*($M$6^3))),"NA")</f>
        <v>4.1916853200572968E-8</v>
      </c>
      <c r="N21" s="470">
        <f>M21</f>
        <v>4.1916853200572968E-8</v>
      </c>
      <c r="O21" s="570" t="str">
        <f t="shared" si="4"/>
        <v>NA</v>
      </c>
      <c r="P21" s="571">
        <f t="shared" si="5"/>
        <v>2.7219805825242719E-6</v>
      </c>
      <c r="Q21" s="366">
        <f t="shared" si="13"/>
        <v>2.7219805825242719E-6</v>
      </c>
      <c r="R21" s="366">
        <f t="shared" si="6"/>
        <v>1.1922274951456311E-5</v>
      </c>
    </row>
    <row r="22" spans="1:18" s="380" customFormat="1" ht="14.25" x14ac:dyDescent="0.3">
      <c r="A22" s="105" t="s">
        <v>17</v>
      </c>
      <c r="B22" s="385">
        <v>2.9999999999999997E-4</v>
      </c>
      <c r="C22" s="106">
        <v>7.4999999999999997E-2</v>
      </c>
      <c r="D22" s="366">
        <f>IF(ISNUMBER(B22),(B22*$C$4),"NA")</f>
        <v>1.0488599999999999</v>
      </c>
      <c r="E22" s="107">
        <f t="shared" si="11"/>
        <v>7.291019417475726E-3</v>
      </c>
      <c r="F22" s="366">
        <f>D22+E22</f>
        <v>1.0561510194174757</v>
      </c>
      <c r="G22" s="366">
        <f t="shared" si="2"/>
        <v>4.5940067999999989</v>
      </c>
      <c r="H22" s="366">
        <f t="shared" si="3"/>
        <v>3.1934665048543677E-2</v>
      </c>
      <c r="I22" s="383">
        <f>G22+H22</f>
        <v>4.6259414650485429</v>
      </c>
      <c r="J22" s="536">
        <f t="shared" si="0"/>
        <v>7929.241751999999</v>
      </c>
      <c r="K22" s="366">
        <f>IF(ISNUMBER(J22),(J22/('Stack Parameters'!$D$2*($M$6^3))),"NA")</f>
        <v>0.16151809065140868</v>
      </c>
      <c r="L22" s="366">
        <f t="shared" si="1"/>
        <v>55.119134660194156</v>
      </c>
      <c r="M22" s="366">
        <f>IF(ISNUMBER(L22),(L22/('Stack Parameters'!$D$2*($M$6^3))),"NA")</f>
        <v>1.1227728535867754E-3</v>
      </c>
      <c r="N22" s="470">
        <f>K22+M22</f>
        <v>0.16264086350499546</v>
      </c>
      <c r="O22" s="570">
        <f>IF(ISNUMBER(B22),((B22*$C$4)/0.1),"NA")</f>
        <v>10.488599999999998</v>
      </c>
      <c r="P22" s="571">
        <f t="shared" si="5"/>
        <v>7.2910194174757276E-2</v>
      </c>
      <c r="Q22" s="366">
        <f>O22+P22</f>
        <v>10.561510194174755</v>
      </c>
      <c r="R22" s="366">
        <f>Q22*$C$5/2000</f>
        <v>46.259414650485432</v>
      </c>
    </row>
    <row r="23" spans="1:18" s="380" customFormat="1" ht="14.25" x14ac:dyDescent="0.3">
      <c r="A23" s="105" t="s">
        <v>29</v>
      </c>
      <c r="B23" s="385" t="s">
        <v>26</v>
      </c>
      <c r="C23" s="106">
        <v>1.8</v>
      </c>
      <c r="D23" s="366" t="str">
        <f>IF(ISNUMBER(B23),(B23*$C$4*(1-$I$4)),"NA")</f>
        <v>NA</v>
      </c>
      <c r="E23" s="107">
        <f t="shared" si="11"/>
        <v>0.17498446601941745</v>
      </c>
      <c r="F23" s="366">
        <f t="shared" ref="F23:F25" si="14">E23</f>
        <v>0.17498446601941745</v>
      </c>
      <c r="G23" s="366" t="str">
        <f t="shared" si="2"/>
        <v>NA</v>
      </c>
      <c r="H23" s="366">
        <f t="shared" si="3"/>
        <v>0.76643196116504841</v>
      </c>
      <c r="I23" s="383">
        <f>H23</f>
        <v>0.76643196116504841</v>
      </c>
      <c r="J23" s="384" t="str">
        <f t="shared" si="0"/>
        <v>NA</v>
      </c>
      <c r="K23" s="366" t="str">
        <f>IF(ISNUMBER(J23),(J23/('Stack Parameters'!$D$2*($M$6^3))),"NA")</f>
        <v>NA</v>
      </c>
      <c r="L23" s="366">
        <f t="shared" si="1"/>
        <v>1322.8592318446599</v>
      </c>
      <c r="M23" s="366">
        <f>IF(ISNUMBER(L23),(L23/('Stack Parameters'!$D$2*($M$6^3))),"NA")</f>
        <v>2.6946548486082616E-2</v>
      </c>
      <c r="N23" s="470">
        <f>M23</f>
        <v>2.6946548486082616E-2</v>
      </c>
      <c r="O23" s="570" t="str">
        <f t="shared" si="4"/>
        <v>NA</v>
      </c>
      <c r="P23" s="571">
        <f t="shared" si="5"/>
        <v>1.7498446601941748</v>
      </c>
      <c r="Q23" s="366">
        <f t="shared" ref="Q23:Q25" si="15">P23</f>
        <v>1.7498446601941748</v>
      </c>
      <c r="R23" s="366">
        <f t="shared" si="6"/>
        <v>7.6643196116504857</v>
      </c>
    </row>
    <row r="24" spans="1:18" s="380" customFormat="1" ht="14.25" x14ac:dyDescent="0.3">
      <c r="A24" s="105" t="s">
        <v>74</v>
      </c>
      <c r="B24" s="385" t="s">
        <v>26</v>
      </c>
      <c r="C24" s="106">
        <v>3.8000000000000002E-4</v>
      </c>
      <c r="D24" s="366" t="str">
        <f t="shared" si="7"/>
        <v>NA</v>
      </c>
      <c r="E24" s="107">
        <f t="shared" si="8"/>
        <v>3.6941165048543694E-4</v>
      </c>
      <c r="F24" s="366">
        <f t="shared" si="14"/>
        <v>3.6941165048543694E-4</v>
      </c>
      <c r="G24" s="366" t="str">
        <f t="shared" si="2"/>
        <v>NA</v>
      </c>
      <c r="H24" s="366">
        <f t="shared" si="3"/>
        <v>1.6180230291262139E-3</v>
      </c>
      <c r="I24" s="383">
        <f>H24</f>
        <v>1.6180230291262139E-3</v>
      </c>
      <c r="J24" s="384" t="str">
        <f t="shared" si="0"/>
        <v>NA</v>
      </c>
      <c r="K24" s="366" t="str">
        <f>IF(ISNUMBER(J24),(J24/('Stack Parameters'!$D$2*($M$6^3))),"NA")</f>
        <v>NA</v>
      </c>
      <c r="L24" s="366">
        <f t="shared" si="1"/>
        <v>2.7927028227831716</v>
      </c>
      <c r="M24" s="366">
        <f>IF(ISNUMBER(L24),(L24/('Stack Parameters'!$D$2*($M$6^3))),"NA")</f>
        <v>5.6887157915063315E-5</v>
      </c>
      <c r="N24" s="470">
        <f>M24</f>
        <v>5.6887157915063315E-5</v>
      </c>
      <c r="O24" s="570" t="str">
        <f t="shared" si="4"/>
        <v>NA</v>
      </c>
      <c r="P24" s="571">
        <f t="shared" si="5"/>
        <v>3.6941165048543694E-4</v>
      </c>
      <c r="Q24" s="366">
        <f t="shared" si="15"/>
        <v>3.6941165048543694E-4</v>
      </c>
      <c r="R24" s="366">
        <f t="shared" si="6"/>
        <v>1.6180230291262139E-3</v>
      </c>
    </row>
    <row r="25" spans="1:18" s="380" customFormat="1" ht="14.25" x14ac:dyDescent="0.3">
      <c r="A25" s="105" t="s">
        <v>75</v>
      </c>
      <c r="B25" s="385" t="s">
        <v>26</v>
      </c>
      <c r="C25" s="106">
        <v>2.5999999999999998E-4</v>
      </c>
      <c r="D25" s="366" t="str">
        <f t="shared" si="7"/>
        <v>NA</v>
      </c>
      <c r="E25" s="107">
        <f t="shared" si="8"/>
        <v>2.5275533980582526E-4</v>
      </c>
      <c r="F25" s="366">
        <f t="shared" si="14"/>
        <v>2.5275533980582526E-4</v>
      </c>
      <c r="G25" s="366" t="str">
        <f t="shared" si="2"/>
        <v>NA</v>
      </c>
      <c r="H25" s="366">
        <f t="shared" si="3"/>
        <v>1.1070683883495148E-3</v>
      </c>
      <c r="I25" s="383">
        <f>H25</f>
        <v>1.1070683883495148E-3</v>
      </c>
      <c r="J25" s="384" t="str">
        <f t="shared" si="0"/>
        <v>NA</v>
      </c>
      <c r="K25" s="366" t="str">
        <f>IF(ISNUMBER(J25),(J25/('Stack Parameters'!$D$2*($M$6^3))),"NA")</f>
        <v>NA</v>
      </c>
      <c r="L25" s="366">
        <f t="shared" si="1"/>
        <v>1.9107966682200648</v>
      </c>
      <c r="M25" s="366">
        <f>IF(ISNUMBER(L25),(L25/('Stack Parameters'!$D$2*($M$6^3))),"NA")</f>
        <v>3.8922792257674901E-5</v>
      </c>
      <c r="N25" s="470">
        <f>M25</f>
        <v>3.8922792257674901E-5</v>
      </c>
      <c r="O25" s="570" t="str">
        <f t="shared" si="4"/>
        <v>NA</v>
      </c>
      <c r="P25" s="571">
        <f t="shared" si="5"/>
        <v>2.5275533980582526E-4</v>
      </c>
      <c r="Q25" s="366">
        <f t="shared" si="15"/>
        <v>2.5275533980582526E-4</v>
      </c>
      <c r="R25" s="366">
        <f t="shared" si="6"/>
        <v>1.1070683883495148E-3</v>
      </c>
    </row>
    <row r="26" spans="1:18" s="380" customFormat="1" ht="14.25" x14ac:dyDescent="0.3">
      <c r="A26" s="109" t="s">
        <v>18</v>
      </c>
      <c r="B26" s="385">
        <v>1.3E-6</v>
      </c>
      <c r="C26" s="106">
        <v>6.0999999999999997E-4</v>
      </c>
      <c r="D26" s="366">
        <f>IF(ISNUMBER(B26),(B26*$C$4*(1-$I$4)),"NA")</f>
        <v>4.5450599999999997E-4</v>
      </c>
      <c r="E26" s="107">
        <f>IF(ISNUMBER(C26),(C26*$D$4*(1-$I$4)/1030),"NA")</f>
        <v>5.9300291262135915E-5</v>
      </c>
      <c r="F26" s="366">
        <f>D26+E26</f>
        <v>5.1380629126213584E-4</v>
      </c>
      <c r="G26" s="366">
        <f t="shared" si="2"/>
        <v>1.9907362800000001E-3</v>
      </c>
      <c r="H26" s="366">
        <f t="shared" si="3"/>
        <v>2.5973527572815529E-4</v>
      </c>
      <c r="I26" s="383">
        <f>G26+H26</f>
        <v>2.2504715557281553E-3</v>
      </c>
      <c r="J26" s="535">
        <f t="shared" si="0"/>
        <v>3.4360047591999998</v>
      </c>
      <c r="K26" s="366">
        <f>IF(ISNUMBER(J26),(J26/('Stack Parameters'!$D$2*($M$6^3))),"NA")</f>
        <v>6.9991172615610432E-5</v>
      </c>
      <c r="L26" s="366">
        <f t="shared" si="1"/>
        <v>0.44830229523624587</v>
      </c>
      <c r="M26" s="366">
        <f>IF(ISNUMBER(L26),(L26/('Stack Parameters'!$D$2*($M$6^3))),"NA")</f>
        <v>9.1318858758391084E-6</v>
      </c>
      <c r="N26" s="470">
        <f>K26+M26</f>
        <v>7.9123058491449539E-5</v>
      </c>
      <c r="O26" s="570">
        <f t="shared" si="4"/>
        <v>4.5450600000000009E-3</v>
      </c>
      <c r="P26" s="571">
        <f t="shared" si="5"/>
        <v>5.9300291262135926E-4</v>
      </c>
      <c r="Q26" s="366">
        <f>O26+P26</f>
        <v>5.1380629126213601E-3</v>
      </c>
      <c r="R26" s="366">
        <f t="shared" si="6"/>
        <v>2.2504715557281556E-2</v>
      </c>
    </row>
    <row r="27" spans="1:18" s="380" customFormat="1" ht="14.25" x14ac:dyDescent="0.3">
      <c r="A27" s="109" t="s">
        <v>76</v>
      </c>
      <c r="B27" s="385" t="s">
        <v>26</v>
      </c>
      <c r="C27" s="106">
        <v>2.0999999999999999E-3</v>
      </c>
      <c r="D27" s="366" t="str">
        <f t="shared" si="7"/>
        <v>NA</v>
      </c>
      <c r="E27" s="107">
        <f t="shared" si="8"/>
        <v>2.0414854368932039E-3</v>
      </c>
      <c r="F27" s="366">
        <f t="shared" ref="F27:F28" si="16">E27</f>
        <v>2.0414854368932039E-3</v>
      </c>
      <c r="G27" s="366" t="str">
        <f t="shared" si="2"/>
        <v>NA</v>
      </c>
      <c r="H27" s="366">
        <f t="shared" si="3"/>
        <v>8.9417062135922331E-3</v>
      </c>
      <c r="I27" s="383">
        <f>H27</f>
        <v>8.9417062135922331E-3</v>
      </c>
      <c r="J27" s="384" t="str">
        <f t="shared" si="0"/>
        <v>NA</v>
      </c>
      <c r="K27" s="366" t="str">
        <f>IF(ISNUMBER(J27),(J27/('Stack Parameters'!$D$2*($M$6^3))),"NA")</f>
        <v>NA</v>
      </c>
      <c r="L27" s="366">
        <f t="shared" si="1"/>
        <v>15.433357704854368</v>
      </c>
      <c r="M27" s="366">
        <f>IF(ISNUMBER(L27),(L27/('Stack Parameters'!$D$2*($M$6^3))),"NA")</f>
        <v>3.1437639900429721E-4</v>
      </c>
      <c r="N27" s="470">
        <f>M27</f>
        <v>3.1437639900429721E-4</v>
      </c>
      <c r="O27" s="570" t="str">
        <f t="shared" si="4"/>
        <v>NA</v>
      </c>
      <c r="P27" s="571">
        <f t="shared" si="5"/>
        <v>2.0414854368932039E-3</v>
      </c>
      <c r="Q27" s="366">
        <f t="shared" ref="Q27:Q28" si="17">P27</f>
        <v>2.0414854368932039E-3</v>
      </c>
      <c r="R27" s="366">
        <f t="shared" si="6"/>
        <v>8.9417062135922331E-3</v>
      </c>
    </row>
    <row r="28" spans="1:18" s="380" customFormat="1" ht="14.25" x14ac:dyDescent="0.3">
      <c r="A28" s="109" t="s">
        <v>77</v>
      </c>
      <c r="B28" s="385" t="s">
        <v>26</v>
      </c>
      <c r="C28" s="106">
        <v>1.7E-5</v>
      </c>
      <c r="D28" s="366" t="str">
        <f>IF(ISNUMBER(B28),(B28*$C$4*(1-$I$4)),"NA")</f>
        <v>NA</v>
      </c>
      <c r="E28" s="107">
        <f>IF(ISNUMBER(C28),(C28*$D$4*(1-$I$4)/1030),"NA")</f>
        <v>1.6526310679611649E-6</v>
      </c>
      <c r="F28" s="366">
        <f t="shared" si="16"/>
        <v>1.6526310679611649E-6</v>
      </c>
      <c r="G28" s="366" t="str">
        <f t="shared" si="2"/>
        <v>NA</v>
      </c>
      <c r="H28" s="366">
        <f t="shared" si="3"/>
        <v>7.2385240776699025E-6</v>
      </c>
      <c r="I28" s="383">
        <f>H28</f>
        <v>7.2385240776699025E-6</v>
      </c>
      <c r="J28" s="384" t="str">
        <f t="shared" si="0"/>
        <v>NA</v>
      </c>
      <c r="K28" s="366" t="str">
        <f>IF(ISNUMBER(J28),(J28/('Stack Parameters'!$D$2*($M$6^3))),"NA")</f>
        <v>NA</v>
      </c>
      <c r="L28" s="366">
        <f t="shared" si="1"/>
        <v>1.2493670522977346E-2</v>
      </c>
      <c r="M28" s="366">
        <f>IF(ISNUMBER(L28),(L28/('Stack Parameters'!$D$2*($M$6^3))),"NA")</f>
        <v>2.5449518014633584E-7</v>
      </c>
      <c r="N28" s="470">
        <f>M28</f>
        <v>2.5449518014633584E-7</v>
      </c>
      <c r="O28" s="570" t="str">
        <f t="shared" si="4"/>
        <v>NA</v>
      </c>
      <c r="P28" s="571">
        <f t="shared" si="5"/>
        <v>1.6526310679611653E-5</v>
      </c>
      <c r="Q28" s="366">
        <f t="shared" si="17"/>
        <v>1.6526310679611653E-5</v>
      </c>
      <c r="R28" s="366">
        <f t="shared" si="6"/>
        <v>7.238524077669904E-5</v>
      </c>
    </row>
    <row r="29" spans="1:18" s="380" customFormat="1" ht="14.25" x14ac:dyDescent="0.3">
      <c r="A29" s="387" t="s">
        <v>30</v>
      </c>
      <c r="B29" s="386">
        <v>2.2000000000000001E-6</v>
      </c>
      <c r="C29" s="385" t="s">
        <v>26</v>
      </c>
      <c r="D29" s="366">
        <f>IF(ISNUMBER(B29),(B29*$C$4*(1-$I$4)),"NA")</f>
        <v>7.6916399999999992E-4</v>
      </c>
      <c r="E29" s="366" t="str">
        <f>IF(ISNUMBER(C29),(C29*$D$4*(1-$I$4)/1030),"NA")</f>
        <v>NA</v>
      </c>
      <c r="F29" s="366">
        <f>D29</f>
        <v>7.6916399999999992E-4</v>
      </c>
      <c r="G29" s="366">
        <f t="shared" si="2"/>
        <v>3.3689383199999997E-3</v>
      </c>
      <c r="H29" s="366" t="str">
        <f t="shared" si="3"/>
        <v>NA</v>
      </c>
      <c r="I29" s="383">
        <f>G29</f>
        <v>3.3689383199999997E-3</v>
      </c>
      <c r="J29" s="535">
        <f t="shared" si="0"/>
        <v>5.814777284799999</v>
      </c>
      <c r="K29" s="366">
        <f>IF(ISNUMBER(J29),(J29/('Stack Parameters'!$D$2*($M$6^3))),"NA")</f>
        <v>1.1844659981103303E-4</v>
      </c>
      <c r="L29" s="366" t="str">
        <f t="shared" si="1"/>
        <v>NA</v>
      </c>
      <c r="M29" s="366" t="str">
        <f>IF(ISNUMBER(L29),(L29/('Stack Parameters'!$D$2*($M$6^3))),"NA")</f>
        <v>NA</v>
      </c>
      <c r="N29" s="470">
        <f>K29</f>
        <v>1.1844659981103303E-4</v>
      </c>
      <c r="O29" s="570">
        <f t="shared" si="4"/>
        <v>7.6916400000000013E-3</v>
      </c>
      <c r="P29" s="571" t="str">
        <f t="shared" si="5"/>
        <v>NA</v>
      </c>
      <c r="Q29" s="366">
        <f>O29</f>
        <v>7.6916400000000013E-3</v>
      </c>
      <c r="R29" s="366">
        <f t="shared" si="6"/>
        <v>3.3689383200000006E-2</v>
      </c>
    </row>
    <row r="30" spans="1:18" s="380" customFormat="1" ht="14.25" x14ac:dyDescent="0.3">
      <c r="A30" s="110" t="s">
        <v>78</v>
      </c>
      <c r="B30" s="385" t="s">
        <v>26</v>
      </c>
      <c r="C30" s="106">
        <v>5.0000000000000004E-6</v>
      </c>
      <c r="D30" s="366" t="str">
        <f>IF(ISNUMBER(B30),(B30*$C$4*(1-$I$4)),"NA")</f>
        <v>NA</v>
      </c>
      <c r="E30" s="107">
        <f>IF(ISNUMBER(C30),(C30*$D$4*(1-$I$4)/1030),"NA")</f>
        <v>4.8606796116504852E-7</v>
      </c>
      <c r="F30" s="366">
        <f>E30</f>
        <v>4.8606796116504852E-7</v>
      </c>
      <c r="G30" s="366" t="str">
        <f t="shared" si="2"/>
        <v>NA</v>
      </c>
      <c r="H30" s="366">
        <f t="shared" si="3"/>
        <v>2.1289776699029126E-6</v>
      </c>
      <c r="I30" s="383">
        <f>H30</f>
        <v>2.1289776699029126E-6</v>
      </c>
      <c r="J30" s="384" t="str">
        <f t="shared" si="0"/>
        <v>NA</v>
      </c>
      <c r="K30" s="366" t="str">
        <f>IF(ISNUMBER(J30),(J30/('Stack Parameters'!$D$2*($M$6^3))),"NA")</f>
        <v>NA</v>
      </c>
      <c r="L30" s="366">
        <f t="shared" si="1"/>
        <v>3.6746089773462779E-3</v>
      </c>
      <c r="M30" s="366">
        <f>IF(ISNUMBER(L30),(L30/('Stack Parameters'!$D$2*($M$6^3))),"NA")</f>
        <v>7.4851523572451724E-8</v>
      </c>
      <c r="N30" s="470">
        <f>M30</f>
        <v>7.4851523572451724E-8</v>
      </c>
      <c r="O30" s="570" t="str">
        <f t="shared" si="4"/>
        <v>NA</v>
      </c>
      <c r="P30" s="571">
        <f t="shared" si="5"/>
        <v>4.8606796116504863E-6</v>
      </c>
      <c r="Q30" s="366">
        <f>P30</f>
        <v>4.8606796116504863E-6</v>
      </c>
      <c r="R30" s="366">
        <f t="shared" si="6"/>
        <v>2.128977669902913E-5</v>
      </c>
    </row>
    <row r="31" spans="1:18" s="380" customFormat="1" ht="14.25" x14ac:dyDescent="0.3">
      <c r="A31" s="110" t="s">
        <v>19</v>
      </c>
      <c r="B31" s="385">
        <v>1.2999999999999999E-4</v>
      </c>
      <c r="C31" s="106">
        <v>3.3999999999999998E-3</v>
      </c>
      <c r="D31" s="366">
        <f>IF(ISNUMBER(B31),(B31*$C$4*(1-$I$4)),"NA")</f>
        <v>4.5450599999999994E-2</v>
      </c>
      <c r="E31" s="107">
        <f>IF(ISNUMBER(C31),(C31*$D$4*(1-$I$4)/1030),"NA")</f>
        <v>3.3052621359223292E-4</v>
      </c>
      <c r="F31" s="366">
        <f>D31+E31</f>
        <v>4.5781126213592226E-2</v>
      </c>
      <c r="G31" s="366">
        <f t="shared" si="2"/>
        <v>0.19907362799999997</v>
      </c>
      <c r="H31" s="366">
        <f t="shared" si="3"/>
        <v>1.4477048155339802E-3</v>
      </c>
      <c r="I31" s="383">
        <f>G31+H31</f>
        <v>0.20052133281553394</v>
      </c>
      <c r="J31" s="535">
        <f t="shared" si="0"/>
        <v>343.60047591999989</v>
      </c>
      <c r="K31" s="366">
        <f>IF(ISNUMBER(J31),(J31/('Stack Parameters'!$D$2*($M$6^3))),"NA")</f>
        <v>6.9991172615610419E-3</v>
      </c>
      <c r="L31" s="366">
        <f t="shared" si="1"/>
        <v>2.4987341045954685</v>
      </c>
      <c r="M31" s="366">
        <f>IF(ISNUMBER(L31),(L31/('Stack Parameters'!$D$2*($M$6^3))),"NA")</f>
        <v>5.0899036029267157E-5</v>
      </c>
      <c r="N31" s="470">
        <f>K31+M31</f>
        <v>7.0500162975903093E-3</v>
      </c>
      <c r="O31" s="570">
        <f t="shared" si="4"/>
        <v>0.45450600000000002</v>
      </c>
      <c r="P31" s="571">
        <f t="shared" si="5"/>
        <v>3.30526213592233E-3</v>
      </c>
      <c r="Q31" s="366">
        <f>O31+P31</f>
        <v>0.45781126213592233</v>
      </c>
      <c r="R31" s="366">
        <f t="shared" si="6"/>
        <v>2.0052133281553397</v>
      </c>
    </row>
    <row r="32" spans="1:18" s="380" customFormat="1" ht="15" thickBot="1" x14ac:dyDescent="0.35">
      <c r="A32" s="382" t="s">
        <v>20</v>
      </c>
      <c r="B32" s="381">
        <v>6.3999999999999997E-5</v>
      </c>
      <c r="C32" s="381" t="s">
        <v>26</v>
      </c>
      <c r="D32" s="365">
        <f>IF(ISNUMBER(B32),(B32*$C$4*(1-$I$4)),"NA")</f>
        <v>2.2375679999999995E-2</v>
      </c>
      <c r="E32" s="365" t="str">
        <f>IF(ISNUMBER(C32),(C32*$D$4*(1-$I$4)/1030),"NA")</f>
        <v>NA</v>
      </c>
      <c r="F32" s="365">
        <f>D32</f>
        <v>2.2375679999999995E-2</v>
      </c>
      <c r="G32" s="365">
        <f t="shared" si="2"/>
        <v>9.8005478399999971E-2</v>
      </c>
      <c r="H32" s="365" t="str">
        <f t="shared" si="3"/>
        <v>NA</v>
      </c>
      <c r="I32" s="440">
        <f>G32</f>
        <v>9.8005478399999971E-2</v>
      </c>
      <c r="J32" s="359">
        <f t="shared" si="0"/>
        <v>169.15715737599993</v>
      </c>
      <c r="K32" s="365">
        <f>IF(ISNUMBER(J32),(J32/('Stack Parameters'!$D$2*($M$6^3))),"NA")</f>
        <v>3.4457192672300509E-3</v>
      </c>
      <c r="L32" s="365" t="str">
        <f t="shared" si="1"/>
        <v>NA</v>
      </c>
      <c r="M32" s="365" t="str">
        <f>IF(ISNUMBER(L32),(L32/('Stack Parameters'!$D$2*($M$6^3))),"NA")</f>
        <v>NA</v>
      </c>
      <c r="N32" s="471">
        <f>K32</f>
        <v>3.4457192672300509E-3</v>
      </c>
      <c r="O32" s="572">
        <f t="shared" si="4"/>
        <v>0.22375680000000001</v>
      </c>
      <c r="P32" s="573" t="str">
        <f t="shared" si="5"/>
        <v>NA</v>
      </c>
      <c r="Q32" s="365">
        <f>O32</f>
        <v>0.22375680000000001</v>
      </c>
      <c r="R32" s="365">
        <f t="shared" si="6"/>
        <v>0.98005478400000001</v>
      </c>
    </row>
    <row r="33" spans="1:18" x14ac:dyDescent="0.25">
      <c r="F33" s="353"/>
      <c r="G33" s="353"/>
      <c r="H33" s="353"/>
      <c r="J33" s="353"/>
      <c r="L33" s="353"/>
      <c r="R33" s="354">
        <f>SUM(R10:R32)</f>
        <v>58.387316615453585</v>
      </c>
    </row>
    <row r="34" spans="1:18" x14ac:dyDescent="0.25">
      <c r="F34" s="353"/>
      <c r="G34" s="353"/>
      <c r="H34" s="353"/>
      <c r="J34" s="353"/>
      <c r="L34" s="353"/>
    </row>
    <row r="35" spans="1:18" x14ac:dyDescent="0.25">
      <c r="A35" s="353" t="s">
        <v>106</v>
      </c>
      <c r="J35" s="353"/>
      <c r="L35" s="353"/>
    </row>
    <row r="36" spans="1:18" ht="40.5" customHeight="1" x14ac:dyDescent="0.25">
      <c r="A36" s="647" t="s">
        <v>439</v>
      </c>
      <c r="B36" s="647"/>
      <c r="C36" s="647"/>
      <c r="D36" s="647"/>
      <c r="E36" s="647"/>
      <c r="F36" s="647"/>
      <c r="G36" s="647"/>
      <c r="H36" s="647"/>
      <c r="I36" s="647"/>
      <c r="J36" s="647"/>
      <c r="K36" s="647"/>
      <c r="L36" s="647"/>
      <c r="M36" s="647"/>
      <c r="N36" s="647"/>
    </row>
    <row r="37" spans="1:18" ht="15.75" x14ac:dyDescent="0.25">
      <c r="A37" s="379" t="s">
        <v>440</v>
      </c>
    </row>
    <row r="38" spans="1:18" ht="15.75" x14ac:dyDescent="0.25">
      <c r="A38" s="379" t="s">
        <v>500</v>
      </c>
    </row>
    <row r="39" spans="1:18" ht="15.75" x14ac:dyDescent="0.25">
      <c r="A39" s="379"/>
    </row>
    <row r="40" spans="1:18" ht="3.75" customHeight="1" thickBot="1" x14ac:dyDescent="0.3">
      <c r="A40" s="378"/>
    </row>
    <row r="41" spans="1:18" ht="43.5" thickBot="1" x14ac:dyDescent="0.3">
      <c r="A41" s="98" t="s">
        <v>68</v>
      </c>
      <c r="B41" s="377" t="s">
        <v>190</v>
      </c>
      <c r="C41" s="377" t="s">
        <v>261</v>
      </c>
      <c r="D41" s="376" t="s">
        <v>406</v>
      </c>
      <c r="E41" s="376" t="s">
        <v>102</v>
      </c>
      <c r="F41" s="228" t="s">
        <v>388</v>
      </c>
      <c r="G41" s="377" t="s">
        <v>103</v>
      </c>
      <c r="H41" s="376" t="s">
        <v>104</v>
      </c>
      <c r="I41" s="376" t="s">
        <v>402</v>
      </c>
      <c r="J41" s="376" t="s">
        <v>186</v>
      </c>
      <c r="K41" s="228" t="s">
        <v>390</v>
      </c>
      <c r="L41" s="377" t="s">
        <v>187</v>
      </c>
      <c r="M41" s="376" t="s">
        <v>188</v>
      </c>
      <c r="N41" s="375" t="s">
        <v>105</v>
      </c>
    </row>
    <row r="42" spans="1:18" x14ac:dyDescent="0.25">
      <c r="A42" s="101" t="s">
        <v>252</v>
      </c>
      <c r="B42" s="374" t="str">
        <f t="shared" ref="B42:B64" si="18">IF(ISNUMBER((VLOOKUP($A42,CTHAP,4,FALSE))),(VLOOKUP($A42,CTHAP,4,FALSE)),"NA")</f>
        <v>NA</v>
      </c>
      <c r="C42" s="374">
        <f>IF(ISNUMBER((VLOOKUP($A42,CTHAP,5,FALSE))),(VLOOKUP($A42,CTHAP,5,FALSE)),"NA")</f>
        <v>2.333126213592233E-6</v>
      </c>
      <c r="D42" s="374">
        <f>SUM(B42:C42)</f>
        <v>2.333126213592233E-6</v>
      </c>
      <c r="E42" s="374">
        <f t="shared" ref="E42:E64" si="19">IF(ISNUMBER((VLOOKUP($A42,AuxBoilerHAP,3,FALSE))),(VLOOKUP($A42,AuxBoilerHAP,3,FALSE)),"NA")</f>
        <v>1.8122094926350243E-6</v>
      </c>
      <c r="F42" s="374">
        <f t="shared" ref="F42:F64" si="20">IF(ISNUMBER((VLOOKUP($A42,FuelGasHAP,3,FALSE))),(VLOOKUP($A42,FuelGasHAP,3,FALSE)),"NA")</f>
        <v>1.2745768244138714E-7</v>
      </c>
      <c r="G42" s="374" t="str">
        <f t="shared" ref="G42:G64" si="21">IF(ISNUMBER((VLOOKUP($A42,EGenHAP,3,FALSE))),(VLOOKUP($A42,EGenHAP,3,FALSE)),"NA")</f>
        <v>NA</v>
      </c>
      <c r="H42" s="374" t="str">
        <f t="shared" ref="H42:H64" si="22">IF(ISNUMBER((VLOOKUP($A42,FireWaterHAP,3,FALSE))),(VLOOKUP($A42,FireWaterHAP,3,FALSE)),"NA")</f>
        <v>NA</v>
      </c>
      <c r="I42" s="374">
        <f t="shared" ref="I42:I64" si="23">IF(ISNUMBER((VLOOKUP($A42,CTHAP,9,FALSE))),(VLOOKUP($A42,CTHAP,9,FALSE)),"NA")</f>
        <v>1.0219092815533981E-5</v>
      </c>
      <c r="J42" s="374">
        <f t="shared" ref="J42:J64" si="24">IF(ISNUMBER((VLOOKUP($A42,AuxBoilerHAP,4,FALSE))),(VLOOKUP($A42,AuxBoilerHAP,4,FALSE)),"NA")</f>
        <v>4.1463353191489358E-6</v>
      </c>
      <c r="K42" s="374">
        <f t="shared" ref="K42:K64" si="25">IF(ISNUMBER((VLOOKUP($A42,FuelGasHAP,4,FALSE))),(VLOOKUP($A42,FuelGasHAP,4,FALSE)),"NA")</f>
        <v>5.5826464909327559E-7</v>
      </c>
      <c r="L42" s="374" t="str">
        <f t="shared" ref="L42:L64" si="26">IF(ISNUMBER((VLOOKUP($A42,EGenHAP,4,FALSE))),(VLOOKUP($A42,EGenHAP,4,FALSE)),"NA")</f>
        <v>NA</v>
      </c>
      <c r="M42" s="374" t="str">
        <f t="shared" ref="M42:M64" si="27">IF(ISNUMBER((VLOOKUP($A42,FireWaterHAP,4,FALSE))),(VLOOKUP($A42,FireWaterHAP,4,FALSE)),"NA")</f>
        <v>NA</v>
      </c>
      <c r="N42" s="373">
        <f>SUM(I42:M42)</f>
        <v>1.4923692783776194E-5</v>
      </c>
    </row>
    <row r="43" spans="1:18" x14ac:dyDescent="0.25">
      <c r="A43" s="372" t="s">
        <v>14</v>
      </c>
      <c r="B43" s="366">
        <f t="shared" si="18"/>
        <v>1.39848E-2</v>
      </c>
      <c r="C43" s="366" t="str">
        <f t="shared" ref="C43:C64" si="28">IF(ISNUMBER((VLOOKUP($A43,CTHAP,5,FALSE))),(VLOOKUP($A43,CTHAP,5,FALSE)),"NA")</f>
        <v>NA</v>
      </c>
      <c r="D43" s="366">
        <f t="shared" ref="D43:D64" si="29">SUM(B43:C43)</f>
        <v>1.39848E-2</v>
      </c>
      <c r="E43" s="366" t="str">
        <f t="shared" si="19"/>
        <v>NA</v>
      </c>
      <c r="F43" s="366" t="str">
        <f t="shared" si="20"/>
        <v>NA</v>
      </c>
      <c r="G43" s="366">
        <f t="shared" si="21"/>
        <v>4.8686399999999999E-4</v>
      </c>
      <c r="H43" s="366">
        <f t="shared" si="22"/>
        <v>1.6107000000000001E-3</v>
      </c>
      <c r="I43" s="366">
        <f t="shared" si="23"/>
        <v>6.1253424000000001E-2</v>
      </c>
      <c r="J43" s="366" t="str">
        <f t="shared" si="24"/>
        <v>NA</v>
      </c>
      <c r="K43" s="366" t="str">
        <f t="shared" si="25"/>
        <v>NA</v>
      </c>
      <c r="L43" s="366">
        <f t="shared" si="26"/>
        <v>2.4343199999999998E-5</v>
      </c>
      <c r="M43" s="366">
        <f t="shared" si="27"/>
        <v>8.0535000000000014E-5</v>
      </c>
      <c r="N43" s="371">
        <f t="shared" ref="N43:N64" si="30">SUM(I43:M43)</f>
        <v>6.1358302199999999E-2</v>
      </c>
    </row>
    <row r="44" spans="1:18" x14ac:dyDescent="0.25">
      <c r="A44" s="372" t="s">
        <v>15</v>
      </c>
      <c r="B44" s="366">
        <f t="shared" si="18"/>
        <v>2.2375679999999997E-3</v>
      </c>
      <c r="C44" s="366" t="str">
        <f t="shared" si="28"/>
        <v>NA</v>
      </c>
      <c r="D44" s="366">
        <f t="shared" si="29"/>
        <v>2.2375679999999997E-3</v>
      </c>
      <c r="E44" s="366" t="str">
        <f t="shared" si="19"/>
        <v>NA</v>
      </c>
      <c r="F44" s="366" t="str">
        <f t="shared" si="20"/>
        <v>NA</v>
      </c>
      <c r="G44" s="366">
        <f t="shared" si="21"/>
        <v>1.5224160000000002E-4</v>
      </c>
      <c r="H44" s="366">
        <f t="shared" si="22"/>
        <v>7.8800000000000007E-4</v>
      </c>
      <c r="I44" s="366">
        <f t="shared" si="23"/>
        <v>9.8005478399999981E-3</v>
      </c>
      <c r="J44" s="366" t="str">
        <f t="shared" si="24"/>
        <v>NA</v>
      </c>
      <c r="K44" s="366" t="str">
        <f t="shared" si="25"/>
        <v>NA</v>
      </c>
      <c r="L44" s="366">
        <f t="shared" si="26"/>
        <v>7.6120800000000015E-6</v>
      </c>
      <c r="M44" s="366">
        <f t="shared" si="27"/>
        <v>1.1820000000000001E-6</v>
      </c>
      <c r="N44" s="371">
        <f t="shared" si="30"/>
        <v>9.809341919999999E-3</v>
      </c>
    </row>
    <row r="45" spans="1:18" x14ac:dyDescent="0.25">
      <c r="A45" s="105" t="s">
        <v>69</v>
      </c>
      <c r="B45" s="366" t="str">
        <f t="shared" si="18"/>
        <v>NA</v>
      </c>
      <c r="C45" s="366">
        <f t="shared" si="28"/>
        <v>1.9442718446601945E-4</v>
      </c>
      <c r="D45" s="366">
        <f t="shared" si="29"/>
        <v>1.9442718446601945E-4</v>
      </c>
      <c r="E45" s="366">
        <f t="shared" si="19"/>
        <v>1.5101745771958536E-5</v>
      </c>
      <c r="F45" s="366">
        <f t="shared" si="20"/>
        <v>1.0621473536782262E-6</v>
      </c>
      <c r="G45" s="366" t="str">
        <f t="shared" si="21"/>
        <v>NA</v>
      </c>
      <c r="H45" s="366" t="str">
        <f t="shared" si="22"/>
        <v>NA</v>
      </c>
      <c r="I45" s="366">
        <f t="shared" si="23"/>
        <v>8.5159106796116508E-4</v>
      </c>
      <c r="J45" s="366">
        <f t="shared" si="24"/>
        <v>3.4552794326241132E-5</v>
      </c>
      <c r="K45" s="366">
        <f t="shared" si="25"/>
        <v>4.6522054091106307E-6</v>
      </c>
      <c r="L45" s="366" t="str">
        <f t="shared" si="26"/>
        <v>NA</v>
      </c>
      <c r="M45" s="366" t="str">
        <f t="shared" si="27"/>
        <v>NA</v>
      </c>
      <c r="N45" s="371">
        <f t="shared" si="30"/>
        <v>8.9079606769651692E-4</v>
      </c>
    </row>
    <row r="46" spans="1:18" s="362" customFormat="1" x14ac:dyDescent="0.25">
      <c r="A46" s="233" t="s">
        <v>16</v>
      </c>
      <c r="B46" s="366">
        <f t="shared" si="18"/>
        <v>4.1954399999999991E-3</v>
      </c>
      <c r="C46" s="366">
        <f t="shared" si="28"/>
        <v>2.0414854368932037E-4</v>
      </c>
      <c r="D46" s="366">
        <f t="shared" si="29"/>
        <v>4.3995885436893195E-3</v>
      </c>
      <c r="E46" s="369">
        <f t="shared" si="19"/>
        <v>1.5856833060556462E-4</v>
      </c>
      <c r="F46" s="369">
        <f t="shared" si="20"/>
        <v>1.1152547213621373E-5</v>
      </c>
      <c r="G46" s="369">
        <f t="shared" si="21"/>
        <v>1.499232E-2</v>
      </c>
      <c r="H46" s="369">
        <f t="shared" si="22"/>
        <v>1.9593000000000002E-3</v>
      </c>
      <c r="I46" s="369">
        <f t="shared" si="23"/>
        <v>1.927019782135922E-2</v>
      </c>
      <c r="J46" s="369">
        <f t="shared" si="24"/>
        <v>3.6280434042553183E-4</v>
      </c>
      <c r="K46" s="369">
        <f t="shared" si="25"/>
        <v>4.8848156795661609E-5</v>
      </c>
      <c r="L46" s="369">
        <f t="shared" si="26"/>
        <v>7.4961599999999993E-4</v>
      </c>
      <c r="M46" s="369">
        <f t="shared" si="27"/>
        <v>9.7965000000000015E-5</v>
      </c>
      <c r="N46" s="368">
        <f t="shared" si="30"/>
        <v>2.0529431318580413E-2</v>
      </c>
    </row>
    <row r="47" spans="1:18" s="362" customFormat="1" x14ac:dyDescent="0.25">
      <c r="A47" s="233" t="s">
        <v>194</v>
      </c>
      <c r="B47" s="366" t="str">
        <f t="shared" si="18"/>
        <v>NA</v>
      </c>
      <c r="C47" s="366">
        <f t="shared" si="28"/>
        <v>1.069349514563107E-3</v>
      </c>
      <c r="D47" s="366">
        <f t="shared" si="29"/>
        <v>1.069349514563107E-3</v>
      </c>
      <c r="E47" s="369">
        <f t="shared" si="19"/>
        <v>8.305960174577195E-5</v>
      </c>
      <c r="F47" s="369">
        <f t="shared" si="20"/>
        <v>5.8418104452302433E-6</v>
      </c>
      <c r="G47" s="369" t="str">
        <f t="shared" si="21"/>
        <v>NA</v>
      </c>
      <c r="H47" s="369" t="str">
        <f t="shared" si="22"/>
        <v>NA</v>
      </c>
      <c r="I47" s="369">
        <f t="shared" si="23"/>
        <v>4.6837508737864082E-3</v>
      </c>
      <c r="J47" s="369">
        <f t="shared" si="24"/>
        <v>1.900403687943262E-4</v>
      </c>
      <c r="K47" s="369">
        <f t="shared" si="25"/>
        <v>2.5587129750108468E-5</v>
      </c>
      <c r="L47" s="369" t="str">
        <f t="shared" si="26"/>
        <v>NA</v>
      </c>
      <c r="M47" s="369" t="str">
        <f t="shared" si="27"/>
        <v>NA</v>
      </c>
      <c r="N47" s="368">
        <f t="shared" si="30"/>
        <v>4.8993783723308435E-3</v>
      </c>
    </row>
    <row r="48" spans="1:18" s="362" customFormat="1" x14ac:dyDescent="0.25">
      <c r="A48" s="233" t="s">
        <v>70</v>
      </c>
      <c r="B48" s="366" t="str">
        <f t="shared" si="18"/>
        <v>NA</v>
      </c>
      <c r="C48" s="366">
        <f t="shared" si="28"/>
        <v>1.360990291262136E-3</v>
      </c>
      <c r="D48" s="366">
        <f t="shared" si="29"/>
        <v>1.360990291262136E-3</v>
      </c>
      <c r="E48" s="369">
        <f t="shared" si="19"/>
        <v>1.0571222040370975E-4</v>
      </c>
      <c r="F48" s="369">
        <f t="shared" si="20"/>
        <v>7.4350314757475819E-6</v>
      </c>
      <c r="G48" s="369" t="str">
        <f t="shared" si="21"/>
        <v>NA</v>
      </c>
      <c r="H48" s="369" t="str">
        <f t="shared" si="22"/>
        <v>NA</v>
      </c>
      <c r="I48" s="369">
        <f t="shared" si="23"/>
        <v>5.9611374757281557E-3</v>
      </c>
      <c r="J48" s="369">
        <f t="shared" si="24"/>
        <v>2.4186956028368791E-4</v>
      </c>
      <c r="K48" s="369">
        <f t="shared" si="25"/>
        <v>3.2565437863774411E-5</v>
      </c>
      <c r="L48" s="369" t="str">
        <f t="shared" si="26"/>
        <v>NA</v>
      </c>
      <c r="M48" s="369" t="str">
        <f t="shared" si="27"/>
        <v>NA</v>
      </c>
      <c r="N48" s="368">
        <f t="shared" si="30"/>
        <v>6.2355724738756184E-3</v>
      </c>
    </row>
    <row r="49" spans="1:14" s="362" customFormat="1" x14ac:dyDescent="0.25">
      <c r="A49" s="233" t="s">
        <v>71</v>
      </c>
      <c r="B49" s="366" t="str">
        <f t="shared" si="18"/>
        <v>NA</v>
      </c>
      <c r="C49" s="366">
        <f t="shared" si="28"/>
        <v>8.1659417475728153E-5</v>
      </c>
      <c r="D49" s="366">
        <f t="shared" si="29"/>
        <v>8.1659417475728153E-5</v>
      </c>
      <c r="E49" s="369">
        <f t="shared" si="19"/>
        <v>6.3427332242225847E-6</v>
      </c>
      <c r="F49" s="369">
        <f t="shared" si="20"/>
        <v>4.4610188854485492E-7</v>
      </c>
      <c r="G49" s="369" t="str">
        <f t="shared" si="21"/>
        <v>NA</v>
      </c>
      <c r="H49" s="369" t="str">
        <f t="shared" si="22"/>
        <v>NA</v>
      </c>
      <c r="I49" s="369">
        <f t="shared" si="23"/>
        <v>3.5766824854368932E-4</v>
      </c>
      <c r="J49" s="369">
        <f t="shared" si="24"/>
        <v>1.4512173617021275E-5</v>
      </c>
      <c r="K49" s="369">
        <f t="shared" si="25"/>
        <v>1.9539262718264646E-6</v>
      </c>
      <c r="L49" s="369" t="str">
        <f t="shared" si="26"/>
        <v>NA</v>
      </c>
      <c r="M49" s="369" t="str">
        <f t="shared" si="27"/>
        <v>NA</v>
      </c>
      <c r="N49" s="368">
        <f t="shared" si="30"/>
        <v>3.7413434843253703E-4</v>
      </c>
    </row>
    <row r="50" spans="1:14" s="362" customFormat="1" x14ac:dyDescent="0.25">
      <c r="A50" s="233" t="s">
        <v>27</v>
      </c>
      <c r="B50" s="366" t="str">
        <f t="shared" si="18"/>
        <v>NA</v>
      </c>
      <c r="C50" s="366">
        <f t="shared" si="28"/>
        <v>1.1665631067961162E-4</v>
      </c>
      <c r="D50" s="366">
        <f t="shared" si="29"/>
        <v>1.1665631067961162E-4</v>
      </c>
      <c r="E50" s="369">
        <f t="shared" si="19"/>
        <v>9.0610474631751207E-5</v>
      </c>
      <c r="F50" s="369">
        <f t="shared" si="20"/>
        <v>6.3728841220693553E-6</v>
      </c>
      <c r="G50" s="369" t="str">
        <f t="shared" si="21"/>
        <v>NA</v>
      </c>
      <c r="H50" s="369" t="str">
        <f t="shared" si="22"/>
        <v>NA</v>
      </c>
      <c r="I50" s="369">
        <f t="shared" si="23"/>
        <v>5.1095464077669894E-4</v>
      </c>
      <c r="J50" s="369">
        <f t="shared" si="24"/>
        <v>2.0731676595744678E-4</v>
      </c>
      <c r="K50" s="369">
        <f t="shared" si="25"/>
        <v>2.7913232454663776E-5</v>
      </c>
      <c r="L50" s="369" t="str">
        <f t="shared" si="26"/>
        <v>NA</v>
      </c>
      <c r="M50" s="369" t="str">
        <f t="shared" si="27"/>
        <v>NA</v>
      </c>
      <c r="N50" s="368">
        <f t="shared" si="30"/>
        <v>7.4618463918880952E-4</v>
      </c>
    </row>
    <row r="51" spans="1:14" s="362" customFormat="1" x14ac:dyDescent="0.25">
      <c r="A51" s="370" t="s">
        <v>28</v>
      </c>
      <c r="B51" s="366">
        <f t="shared" si="18"/>
        <v>1.1187839999999998E-2</v>
      </c>
      <c r="C51" s="366" t="str">
        <f t="shared" si="28"/>
        <v>NA</v>
      </c>
      <c r="D51" s="366">
        <f t="shared" si="29"/>
        <v>1.1187839999999998E-2</v>
      </c>
      <c r="E51" s="369" t="str">
        <f t="shared" si="19"/>
        <v>NA</v>
      </c>
      <c r="F51" s="369" t="str">
        <f t="shared" si="20"/>
        <v>NA</v>
      </c>
      <c r="G51" s="369" t="str">
        <f t="shared" si="21"/>
        <v>NA</v>
      </c>
      <c r="H51" s="369" t="str">
        <f t="shared" si="22"/>
        <v>NA</v>
      </c>
      <c r="I51" s="369">
        <f t="shared" si="23"/>
        <v>4.9002739199999985E-2</v>
      </c>
      <c r="J51" s="369" t="str">
        <f t="shared" si="24"/>
        <v>NA</v>
      </c>
      <c r="K51" s="369" t="str">
        <f t="shared" si="25"/>
        <v>NA</v>
      </c>
      <c r="L51" s="369" t="str">
        <f t="shared" si="26"/>
        <v>NA</v>
      </c>
      <c r="M51" s="369" t="str">
        <f t="shared" si="27"/>
        <v>NA</v>
      </c>
      <c r="N51" s="368">
        <f>SUM(I51:M51)</f>
        <v>4.9002739199999985E-2</v>
      </c>
    </row>
    <row r="52" spans="1:14" s="362" customFormat="1" x14ac:dyDescent="0.25">
      <c r="A52" s="233" t="s">
        <v>72</v>
      </c>
      <c r="B52" s="366" t="str">
        <f t="shared" si="18"/>
        <v>NA</v>
      </c>
      <c r="C52" s="366">
        <f t="shared" si="28"/>
        <v>2.9164077669902913E-7</v>
      </c>
      <c r="D52" s="366">
        <f t="shared" si="29"/>
        <v>2.9164077669902913E-7</v>
      </c>
      <c r="E52" s="369">
        <f t="shared" si="19"/>
        <v>2.2652618657937804E-7</v>
      </c>
      <c r="F52" s="369">
        <f t="shared" si="20"/>
        <v>1.5932210305173392E-8</v>
      </c>
      <c r="G52" s="369" t="str">
        <f t="shared" si="21"/>
        <v>NA</v>
      </c>
      <c r="H52" s="369" t="str">
        <f t="shared" si="22"/>
        <v>NA</v>
      </c>
      <c r="I52" s="369">
        <f t="shared" si="23"/>
        <v>1.2773866019417476E-6</v>
      </c>
      <c r="J52" s="369">
        <f t="shared" si="24"/>
        <v>5.1829191489361698E-7</v>
      </c>
      <c r="K52" s="369">
        <f t="shared" si="25"/>
        <v>6.9783081136659448E-8</v>
      </c>
      <c r="L52" s="369" t="str">
        <f t="shared" si="26"/>
        <v>NA</v>
      </c>
      <c r="M52" s="369" t="str">
        <f t="shared" si="27"/>
        <v>NA</v>
      </c>
      <c r="N52" s="368">
        <f t="shared" si="30"/>
        <v>1.8654615979720242E-6</v>
      </c>
    </row>
    <row r="53" spans="1:14" s="362" customFormat="1" x14ac:dyDescent="0.25">
      <c r="A53" s="233" t="s">
        <v>73</v>
      </c>
      <c r="B53" s="366" t="str">
        <f t="shared" si="18"/>
        <v>NA</v>
      </c>
      <c r="C53" s="366">
        <f t="shared" si="28"/>
        <v>2.7219805825242716E-7</v>
      </c>
      <c r="D53" s="366">
        <f t="shared" si="29"/>
        <v>2.7219805825242716E-7</v>
      </c>
      <c r="E53" s="369">
        <f t="shared" si="19"/>
        <v>2.114244408074195E-7</v>
      </c>
      <c r="F53" s="369">
        <f t="shared" si="20"/>
        <v>1.4870062951495163E-8</v>
      </c>
      <c r="G53" s="369" t="str">
        <f t="shared" si="21"/>
        <v>NA</v>
      </c>
      <c r="H53" s="369" t="str">
        <f t="shared" si="22"/>
        <v>NA</v>
      </c>
      <c r="I53" s="369">
        <f t="shared" si="23"/>
        <v>1.1922274951456311E-6</v>
      </c>
      <c r="J53" s="369">
        <f t="shared" si="24"/>
        <v>4.8373912056737586E-7</v>
      </c>
      <c r="K53" s="369">
        <f t="shared" si="25"/>
        <v>6.5130875727548811E-8</v>
      </c>
      <c r="L53" s="369" t="str">
        <f t="shared" si="26"/>
        <v>NA</v>
      </c>
      <c r="M53" s="369" t="str">
        <f t="shared" si="27"/>
        <v>NA</v>
      </c>
      <c r="N53" s="368">
        <f t="shared" si="30"/>
        <v>1.7410974914405559E-6</v>
      </c>
    </row>
    <row r="54" spans="1:14" s="362" customFormat="1" x14ac:dyDescent="0.25">
      <c r="A54" s="233" t="s">
        <v>17</v>
      </c>
      <c r="B54" s="366">
        <f t="shared" si="18"/>
        <v>1.0488599999999999</v>
      </c>
      <c r="C54" s="366">
        <f t="shared" si="28"/>
        <v>7.291019417475726E-3</v>
      </c>
      <c r="D54" s="366">
        <f t="shared" si="29"/>
        <v>1.0561510194174757</v>
      </c>
      <c r="E54" s="369">
        <f t="shared" si="19"/>
        <v>5.6631546644844511E-3</v>
      </c>
      <c r="F54" s="369">
        <f t="shared" si="20"/>
        <v>3.9830525762933475E-4</v>
      </c>
      <c r="G54" s="369">
        <f t="shared" si="21"/>
        <v>1.5243479999999998E-3</v>
      </c>
      <c r="H54" s="369">
        <f t="shared" si="22"/>
        <v>2.4780000000000002E-3</v>
      </c>
      <c r="I54" s="369">
        <f t="shared" si="23"/>
        <v>4.6259414650485429</v>
      </c>
      <c r="J54" s="369">
        <f t="shared" si="24"/>
        <v>1.2957297872340425E-2</v>
      </c>
      <c r="K54" s="369">
        <f t="shared" si="25"/>
        <v>1.7445770284164862E-3</v>
      </c>
      <c r="L54" s="369">
        <f t="shared" si="26"/>
        <v>7.6217399999999993E-5</v>
      </c>
      <c r="M54" s="369">
        <f t="shared" si="27"/>
        <v>1.239E-4</v>
      </c>
      <c r="N54" s="368">
        <f>SUM(I54:M54)</f>
        <v>4.6408434573493</v>
      </c>
    </row>
    <row r="55" spans="1:14" s="362" customFormat="1" x14ac:dyDescent="0.25">
      <c r="A55" s="233" t="s">
        <v>29</v>
      </c>
      <c r="B55" s="366" t="str">
        <f t="shared" si="18"/>
        <v>NA</v>
      </c>
      <c r="C55" s="366">
        <f t="shared" si="28"/>
        <v>0.17498446601941745</v>
      </c>
      <c r="D55" s="366">
        <f t="shared" si="29"/>
        <v>0.17498446601941745</v>
      </c>
      <c r="E55" s="369">
        <f>IF(ISNUMBER((VLOOKUP($A55,AuxBoilerHAP,3,FALSE))),(VLOOKUP($A55,AuxBoilerHAP,3,FALSE)),"NA")</f>
        <v>0.13591571194762683</v>
      </c>
      <c r="F55" s="369">
        <f t="shared" si="20"/>
        <v>9.5593261831040353E-3</v>
      </c>
      <c r="G55" s="369" t="str">
        <f t="shared" si="21"/>
        <v>NA</v>
      </c>
      <c r="H55" s="369" t="str">
        <f t="shared" si="22"/>
        <v>NA</v>
      </c>
      <c r="I55" s="369">
        <f t="shared" si="23"/>
        <v>0.76643196116504841</v>
      </c>
      <c r="J55" s="369">
        <f t="shared" si="24"/>
        <v>0.31097514893617023</v>
      </c>
      <c r="K55" s="369">
        <f t="shared" si="25"/>
        <v>4.1869848681995676E-2</v>
      </c>
      <c r="L55" s="369" t="str">
        <f t="shared" si="26"/>
        <v>NA</v>
      </c>
      <c r="M55" s="369" t="str">
        <f t="shared" si="27"/>
        <v>NA</v>
      </c>
      <c r="N55" s="368">
        <f t="shared" si="30"/>
        <v>1.1192769587832143</v>
      </c>
    </row>
    <row r="56" spans="1:14" s="362" customFormat="1" x14ac:dyDescent="0.25">
      <c r="A56" s="233" t="s">
        <v>74</v>
      </c>
      <c r="B56" s="366" t="str">
        <f t="shared" si="18"/>
        <v>NA</v>
      </c>
      <c r="C56" s="366">
        <f t="shared" si="28"/>
        <v>3.6941165048543694E-4</v>
      </c>
      <c r="D56" s="366">
        <f t="shared" si="29"/>
        <v>3.6941165048543694E-4</v>
      </c>
      <c r="E56" s="369">
        <f t="shared" si="19"/>
        <v>2.8693316966721219E-5</v>
      </c>
      <c r="F56" s="369">
        <f t="shared" si="20"/>
        <v>2.0180799719886294E-6</v>
      </c>
      <c r="G56" s="369" t="str">
        <f t="shared" si="21"/>
        <v>NA</v>
      </c>
      <c r="H56" s="369" t="str">
        <f t="shared" si="22"/>
        <v>NA</v>
      </c>
      <c r="I56" s="369">
        <f t="shared" si="23"/>
        <v>1.6180230291262139E-3</v>
      </c>
      <c r="J56" s="369">
        <f t="shared" si="24"/>
        <v>6.5650309219858157E-5</v>
      </c>
      <c r="K56" s="369">
        <f t="shared" si="25"/>
        <v>8.8391902773101955E-6</v>
      </c>
      <c r="L56" s="369" t="str">
        <f t="shared" si="26"/>
        <v>NA</v>
      </c>
      <c r="M56" s="369" t="str">
        <f t="shared" si="27"/>
        <v>NA</v>
      </c>
      <c r="N56" s="368">
        <f t="shared" si="30"/>
        <v>1.6925125286233824E-3</v>
      </c>
    </row>
    <row r="57" spans="1:14" s="362" customFormat="1" x14ac:dyDescent="0.25">
      <c r="A57" s="233" t="s">
        <v>75</v>
      </c>
      <c r="B57" s="366" t="str">
        <f t="shared" si="18"/>
        <v>NA</v>
      </c>
      <c r="C57" s="366">
        <f t="shared" si="28"/>
        <v>2.5275533980582526E-4</v>
      </c>
      <c r="D57" s="366">
        <f t="shared" si="29"/>
        <v>2.5275533980582526E-4</v>
      </c>
      <c r="E57" s="369">
        <f t="shared" si="19"/>
        <v>1.9632269503546095E-5</v>
      </c>
      <c r="F57" s="369">
        <f t="shared" si="20"/>
        <v>1.3807915597816936E-6</v>
      </c>
      <c r="G57" s="369" t="str">
        <f t="shared" si="21"/>
        <v>NA</v>
      </c>
      <c r="H57" s="369" t="str">
        <f t="shared" si="22"/>
        <v>NA</v>
      </c>
      <c r="I57" s="369">
        <f t="shared" si="23"/>
        <v>1.1070683883495148E-3</v>
      </c>
      <c r="J57" s="369">
        <f t="shared" si="24"/>
        <v>4.4918632624113467E-5</v>
      </c>
      <c r="K57" s="369">
        <f t="shared" si="25"/>
        <v>6.0478670318438181E-6</v>
      </c>
      <c r="L57" s="369" t="str">
        <f t="shared" si="26"/>
        <v>NA</v>
      </c>
      <c r="M57" s="369" t="str">
        <f t="shared" si="27"/>
        <v>NA</v>
      </c>
      <c r="N57" s="368">
        <f t="shared" si="30"/>
        <v>1.1580348880054719E-3</v>
      </c>
    </row>
    <row r="58" spans="1:14" s="362" customFormat="1" x14ac:dyDescent="0.25">
      <c r="A58" s="370" t="s">
        <v>18</v>
      </c>
      <c r="B58" s="366">
        <f t="shared" si="18"/>
        <v>4.5450599999999997E-4</v>
      </c>
      <c r="C58" s="366">
        <f t="shared" si="28"/>
        <v>5.9300291262135915E-5</v>
      </c>
      <c r="D58" s="366">
        <f t="shared" si="29"/>
        <v>5.1380629126213584E-4</v>
      </c>
      <c r="E58" s="369">
        <f t="shared" si="19"/>
        <v>4.6060324604473532E-5</v>
      </c>
      <c r="F58" s="369">
        <f t="shared" si="20"/>
        <v>3.2395494287185891E-6</v>
      </c>
      <c r="G58" s="369">
        <f t="shared" si="21"/>
        <v>2.5115999999999997E-3</v>
      </c>
      <c r="H58" s="369">
        <f t="shared" si="22"/>
        <v>1.7808E-4</v>
      </c>
      <c r="I58" s="369">
        <f t="shared" si="23"/>
        <v>2.2504715557281553E-3</v>
      </c>
      <c r="J58" s="369">
        <f t="shared" si="24"/>
        <v>1.0538602269503544E-4</v>
      </c>
      <c r="K58" s="369">
        <f t="shared" si="25"/>
        <v>1.418922649778742E-5</v>
      </c>
      <c r="L58" s="369">
        <f t="shared" si="26"/>
        <v>1.2558E-4</v>
      </c>
      <c r="M58" s="369">
        <f t="shared" si="27"/>
        <v>8.9039999999999998E-6</v>
      </c>
      <c r="N58" s="368">
        <f t="shared" si="30"/>
        <v>2.5045308049209784E-3</v>
      </c>
    </row>
    <row r="59" spans="1:14" s="362" customFormat="1" x14ac:dyDescent="0.25">
      <c r="A59" s="233" t="s">
        <v>76</v>
      </c>
      <c r="B59" s="366" t="str">
        <f t="shared" si="18"/>
        <v>NA</v>
      </c>
      <c r="C59" s="366">
        <f t="shared" si="28"/>
        <v>2.0414854368932039E-3</v>
      </c>
      <c r="D59" s="366">
        <f t="shared" si="29"/>
        <v>2.0414854368932039E-3</v>
      </c>
      <c r="E59" s="369">
        <f t="shared" si="19"/>
        <v>1.5856833060556462E-4</v>
      </c>
      <c r="F59" s="369">
        <f t="shared" si="20"/>
        <v>1.1152547213621373E-5</v>
      </c>
      <c r="G59" s="369" t="str">
        <f t="shared" si="21"/>
        <v>NA</v>
      </c>
      <c r="H59" s="369" t="str">
        <f t="shared" si="22"/>
        <v>NA</v>
      </c>
      <c r="I59" s="369">
        <f t="shared" si="23"/>
        <v>8.9417062135922331E-3</v>
      </c>
      <c r="J59" s="369">
        <f t="shared" si="24"/>
        <v>3.6280434042553183E-4</v>
      </c>
      <c r="K59" s="369">
        <f t="shared" si="25"/>
        <v>4.8848156795661609E-5</v>
      </c>
      <c r="L59" s="369" t="str">
        <f t="shared" si="26"/>
        <v>NA</v>
      </c>
      <c r="M59" s="369" t="str">
        <f t="shared" si="27"/>
        <v>NA</v>
      </c>
      <c r="N59" s="368">
        <f t="shared" si="30"/>
        <v>9.3533587108134263E-3</v>
      </c>
    </row>
    <row r="60" spans="1:14" s="362" customFormat="1" x14ac:dyDescent="0.25">
      <c r="A60" s="233" t="s">
        <v>77</v>
      </c>
      <c r="B60" s="366" t="str">
        <f t="shared" si="18"/>
        <v>NA</v>
      </c>
      <c r="C60" s="366">
        <f t="shared" si="28"/>
        <v>1.6526310679611649E-6</v>
      </c>
      <c r="D60" s="366">
        <f t="shared" si="29"/>
        <v>1.6526310679611649E-6</v>
      </c>
      <c r="E60" s="369">
        <f t="shared" si="19"/>
        <v>1.2836483906164755E-6</v>
      </c>
      <c r="F60" s="369">
        <f t="shared" si="20"/>
        <v>9.0282525062649216E-8</v>
      </c>
      <c r="G60" s="369" t="str">
        <f t="shared" si="21"/>
        <v>NA</v>
      </c>
      <c r="H60" s="369" t="str">
        <f t="shared" si="22"/>
        <v>NA</v>
      </c>
      <c r="I60" s="369">
        <f t="shared" si="23"/>
        <v>7.2385240776699025E-6</v>
      </c>
      <c r="J60" s="369">
        <f t="shared" si="24"/>
        <v>2.936987517730496E-6</v>
      </c>
      <c r="K60" s="369">
        <f t="shared" si="25"/>
        <v>3.9543745977440357E-7</v>
      </c>
      <c r="L60" s="369" t="str">
        <f t="shared" si="26"/>
        <v>NA</v>
      </c>
      <c r="M60" s="369" t="str">
        <f t="shared" si="27"/>
        <v>NA</v>
      </c>
      <c r="N60" s="368">
        <f t="shared" si="30"/>
        <v>1.0570949055174803E-5</v>
      </c>
    </row>
    <row r="61" spans="1:14" s="362" customFormat="1" x14ac:dyDescent="0.25">
      <c r="A61" s="370" t="s">
        <v>30</v>
      </c>
      <c r="B61" s="366">
        <f t="shared" si="18"/>
        <v>7.6916399999999992E-4</v>
      </c>
      <c r="C61" s="366" t="str">
        <f t="shared" si="28"/>
        <v>NA</v>
      </c>
      <c r="D61" s="366">
        <f t="shared" si="29"/>
        <v>7.6916399999999992E-4</v>
      </c>
      <c r="E61" s="369" t="str">
        <f t="shared" si="19"/>
        <v>NA</v>
      </c>
      <c r="F61" s="369" t="str">
        <f t="shared" si="20"/>
        <v>NA</v>
      </c>
      <c r="G61" s="369">
        <f t="shared" si="21"/>
        <v>4.0958399999999999E-3</v>
      </c>
      <c r="H61" s="369">
        <f t="shared" si="22"/>
        <v>3.5280000000000001E-4</v>
      </c>
      <c r="I61" s="369">
        <f t="shared" si="23"/>
        <v>3.3689383199999997E-3</v>
      </c>
      <c r="J61" s="369" t="str">
        <f t="shared" si="24"/>
        <v>NA</v>
      </c>
      <c r="K61" s="369" t="str">
        <f t="shared" si="25"/>
        <v>NA</v>
      </c>
      <c r="L61" s="369">
        <f t="shared" si="26"/>
        <v>2.04792E-4</v>
      </c>
      <c r="M61" s="369">
        <f t="shared" si="27"/>
        <v>1.7640000000000001E-5</v>
      </c>
      <c r="N61" s="368">
        <f t="shared" si="30"/>
        <v>3.59137032E-3</v>
      </c>
    </row>
    <row r="62" spans="1:14" s="362" customFormat="1" x14ac:dyDescent="0.25">
      <c r="A62" s="233" t="s">
        <v>78</v>
      </c>
      <c r="B62" s="366" t="str">
        <f t="shared" si="18"/>
        <v>NA</v>
      </c>
      <c r="C62" s="366">
        <f t="shared" si="28"/>
        <v>4.8606796116504852E-7</v>
      </c>
      <c r="D62" s="366">
        <f t="shared" si="29"/>
        <v>4.8606796116504852E-7</v>
      </c>
      <c r="E62" s="369">
        <f t="shared" si="19"/>
        <v>3.7754364429896342E-7</v>
      </c>
      <c r="F62" s="369">
        <f t="shared" si="20"/>
        <v>2.6553683841955652E-8</v>
      </c>
      <c r="G62" s="369" t="str">
        <f t="shared" si="21"/>
        <v>NA</v>
      </c>
      <c r="H62" s="369" t="str">
        <f t="shared" si="22"/>
        <v>NA</v>
      </c>
      <c r="I62" s="369">
        <f t="shared" si="23"/>
        <v>2.1289776699029126E-6</v>
      </c>
      <c r="J62" s="369">
        <f t="shared" si="24"/>
        <v>8.6381985815602826E-7</v>
      </c>
      <c r="K62" s="369">
        <f t="shared" si="25"/>
        <v>1.1630513522776576E-7</v>
      </c>
      <c r="L62" s="369" t="str">
        <f t="shared" si="26"/>
        <v>NA</v>
      </c>
      <c r="M62" s="369" t="str">
        <f t="shared" si="27"/>
        <v>NA</v>
      </c>
      <c r="N62" s="368">
        <f t="shared" si="30"/>
        <v>3.1091026632867063E-6</v>
      </c>
    </row>
    <row r="63" spans="1:14" s="362" customFormat="1" x14ac:dyDescent="0.25">
      <c r="A63" s="370" t="s">
        <v>19</v>
      </c>
      <c r="B63" s="366">
        <f t="shared" si="18"/>
        <v>4.5450599999999994E-2</v>
      </c>
      <c r="C63" s="366">
        <f t="shared" si="28"/>
        <v>3.3052621359223292E-4</v>
      </c>
      <c r="D63" s="366">
        <f t="shared" si="29"/>
        <v>4.5781126213592226E-2</v>
      </c>
      <c r="E63" s="369">
        <f t="shared" si="19"/>
        <v>2.5672967812329507E-4</v>
      </c>
      <c r="F63" s="369">
        <f t="shared" si="20"/>
        <v>1.8056505012529843E-5</v>
      </c>
      <c r="G63" s="369">
        <f t="shared" si="21"/>
        <v>5.4289200000000003E-3</v>
      </c>
      <c r="H63" s="369">
        <f t="shared" si="22"/>
        <v>8.5890000000000011E-4</v>
      </c>
      <c r="I63" s="369">
        <f t="shared" si="23"/>
        <v>0.20052133281553394</v>
      </c>
      <c r="J63" s="369">
        <f t="shared" si="24"/>
        <v>5.8739750354609905E-4</v>
      </c>
      <c r="K63" s="369">
        <f t="shared" si="25"/>
        <v>7.9087491954880706E-5</v>
      </c>
      <c r="L63" s="369">
        <f t="shared" si="26"/>
        <v>2.71446E-4</v>
      </c>
      <c r="M63" s="369">
        <f t="shared" si="27"/>
        <v>4.2945000000000003E-5</v>
      </c>
      <c r="N63" s="368">
        <f t="shared" si="30"/>
        <v>0.20150220881103492</v>
      </c>
    </row>
    <row r="64" spans="1:14" s="362" customFormat="1" ht="14.25" thickBot="1" x14ac:dyDescent="0.3">
      <c r="A64" s="367" t="s">
        <v>20</v>
      </c>
      <c r="B64" s="365">
        <f t="shared" si="18"/>
        <v>2.2375679999999995E-2</v>
      </c>
      <c r="C64" s="365" t="str">
        <f t="shared" si="28"/>
        <v>NA</v>
      </c>
      <c r="D64" s="365">
        <f t="shared" si="29"/>
        <v>2.2375679999999995E-2</v>
      </c>
      <c r="E64" s="364" t="str">
        <f t="shared" si="19"/>
        <v>NA</v>
      </c>
      <c r="F64" s="364" t="str">
        <f t="shared" si="20"/>
        <v>NA</v>
      </c>
      <c r="G64" s="364">
        <f t="shared" si="21"/>
        <v>3.7287600000000002E-3</v>
      </c>
      <c r="H64" s="364">
        <f t="shared" si="22"/>
        <v>5.9849999999999997E-4</v>
      </c>
      <c r="I64" s="364">
        <f t="shared" si="23"/>
        <v>9.8005478399999971E-2</v>
      </c>
      <c r="J64" s="364" t="str">
        <f t="shared" si="24"/>
        <v>NA</v>
      </c>
      <c r="K64" s="364" t="str">
        <f t="shared" si="25"/>
        <v>NA</v>
      </c>
      <c r="L64" s="364">
        <f t="shared" si="26"/>
        <v>1.8643800000000003E-4</v>
      </c>
      <c r="M64" s="364">
        <f t="shared" si="27"/>
        <v>2.9924999999999996E-5</v>
      </c>
      <c r="N64" s="363">
        <f t="shared" si="30"/>
        <v>9.8221841399999968E-2</v>
      </c>
    </row>
    <row r="65" spans="1:14" ht="14.25" x14ac:dyDescent="0.25">
      <c r="A65" s="574" t="s">
        <v>101</v>
      </c>
      <c r="B65" s="361"/>
      <c r="C65" s="361"/>
      <c r="D65" s="361"/>
      <c r="E65" s="361"/>
      <c r="F65" s="361"/>
      <c r="G65" s="361"/>
      <c r="H65" s="361"/>
      <c r="I65" s="361"/>
      <c r="J65" s="361"/>
      <c r="K65" s="361"/>
      <c r="L65" s="361"/>
      <c r="M65" s="361"/>
      <c r="N65" s="425">
        <f>MAX(N42:N64)</f>
        <v>4.6408434573493</v>
      </c>
    </row>
    <row r="66" spans="1:14" ht="15" thickBot="1" x14ac:dyDescent="0.3">
      <c r="A66" s="575" t="s">
        <v>31</v>
      </c>
      <c r="B66" s="360"/>
      <c r="C66" s="360"/>
      <c r="D66" s="360"/>
      <c r="E66" s="358"/>
      <c r="F66" s="358"/>
      <c r="G66" s="360"/>
      <c r="H66" s="358"/>
      <c r="I66" s="359"/>
      <c r="J66" s="358"/>
      <c r="K66" s="358"/>
      <c r="L66" s="358"/>
      <c r="M66" s="358"/>
      <c r="N66" s="357">
        <f>SUM(N42:N64)</f>
        <v>6.232022364439608</v>
      </c>
    </row>
    <row r="67" spans="1:14" x14ac:dyDescent="0.25">
      <c r="A67" s="353" t="s">
        <v>106</v>
      </c>
      <c r="B67" s="355"/>
      <c r="C67" s="355"/>
      <c r="D67" s="355"/>
      <c r="F67" s="354"/>
      <c r="G67" s="353"/>
      <c r="H67" s="353"/>
      <c r="J67" s="353"/>
      <c r="L67" s="353"/>
    </row>
    <row r="68" spans="1:14" x14ac:dyDescent="0.25">
      <c r="A68" s="356"/>
      <c r="B68" s="355"/>
      <c r="C68" s="355"/>
      <c r="D68" s="355"/>
      <c r="E68" s="355"/>
      <c r="F68" s="353"/>
      <c r="H68" s="353"/>
      <c r="I68" s="354"/>
      <c r="J68" s="353"/>
      <c r="L68" s="353"/>
    </row>
    <row r="69" spans="1:14" x14ac:dyDescent="0.25">
      <c r="E69" s="215"/>
    </row>
    <row r="70" spans="1:14" x14ac:dyDescent="0.25">
      <c r="E70" s="356"/>
    </row>
    <row r="71" spans="1:14" x14ac:dyDescent="0.25">
      <c r="E71" s="216"/>
    </row>
    <row r="72" spans="1:14" x14ac:dyDescent="0.25">
      <c r="E72" s="356"/>
    </row>
    <row r="73" spans="1:14" x14ac:dyDescent="0.25">
      <c r="E73" s="356"/>
    </row>
  </sheetData>
  <mergeCells count="4">
    <mergeCell ref="I4:I5"/>
    <mergeCell ref="K3:M4"/>
    <mergeCell ref="A36:N36"/>
    <mergeCell ref="K5:K6"/>
  </mergeCells>
  <pageMargins left="0.27" right="0.27" top="0.51" bottom="0.33" header="0.3" footer="0.3"/>
  <pageSetup scale="5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1"/>
  <sheetViews>
    <sheetView zoomScaleNormal="100" zoomScaleSheetLayoutView="115" workbookViewId="0">
      <selection activeCell="H19" sqref="H19"/>
    </sheetView>
  </sheetViews>
  <sheetFormatPr defaultColWidth="17.140625" defaultRowHeight="13.5" x14ac:dyDescent="0.25"/>
  <cols>
    <col min="1" max="1" width="18.28515625" style="42" customWidth="1"/>
    <col min="2" max="2" width="26.28515625" style="42" customWidth="1"/>
    <col min="3" max="3" width="13.28515625" style="42" customWidth="1"/>
    <col min="4" max="4" width="16.85546875" style="42" customWidth="1"/>
    <col min="5" max="5" width="17" style="42" customWidth="1"/>
    <col min="6" max="6" width="13.140625" style="42" customWidth="1"/>
    <col min="7" max="8" width="18.28515625" style="42" customWidth="1"/>
    <col min="9" max="16384" width="17.140625" style="42"/>
  </cols>
  <sheetData>
    <row r="1" spans="1:8" ht="14.25" x14ac:dyDescent="0.3">
      <c r="A1" s="214" t="s">
        <v>419</v>
      </c>
    </row>
    <row r="2" spans="1:8" ht="14.25" x14ac:dyDescent="0.3">
      <c r="A2" s="214" t="s">
        <v>314</v>
      </c>
    </row>
    <row r="3" spans="1:8" ht="14.25" thickBot="1" x14ac:dyDescent="0.3"/>
    <row r="4" spans="1:8" s="278" customFormat="1" ht="42.75" thickBot="1" x14ac:dyDescent="0.3">
      <c r="A4" s="291" t="s">
        <v>2</v>
      </c>
      <c r="B4" s="291" t="s">
        <v>297</v>
      </c>
      <c r="C4" s="291" t="s">
        <v>298</v>
      </c>
      <c r="D4" s="291" t="s">
        <v>306</v>
      </c>
      <c r="E4" s="291" t="s">
        <v>307</v>
      </c>
      <c r="F4" s="291" t="s">
        <v>311</v>
      </c>
      <c r="G4" s="291" t="s">
        <v>299</v>
      </c>
      <c r="H4" s="291" t="s">
        <v>310</v>
      </c>
    </row>
    <row r="5" spans="1:8" ht="15" x14ac:dyDescent="0.25">
      <c r="A5" s="281" t="s">
        <v>308</v>
      </c>
      <c r="B5" s="281" t="s">
        <v>300</v>
      </c>
      <c r="C5" s="281">
        <v>2</v>
      </c>
      <c r="D5" s="281">
        <v>25</v>
      </c>
      <c r="E5" s="282">
        <v>5.0000000000000001E-3</v>
      </c>
      <c r="F5" s="283">
        <f>C5*D5*E5/2000</f>
        <v>1.25E-4</v>
      </c>
      <c r="G5" s="284">
        <v>22800</v>
      </c>
      <c r="H5" s="285">
        <f>F5*G5</f>
        <v>2.85</v>
      </c>
    </row>
    <row r="6" spans="1:8" ht="15.75" thickBot="1" x14ac:dyDescent="0.3">
      <c r="A6" s="286" t="s">
        <v>308</v>
      </c>
      <c r="B6" s="286" t="s">
        <v>301</v>
      </c>
      <c r="C6" s="286">
        <v>3</v>
      </c>
      <c r="D6" s="286">
        <v>325</v>
      </c>
      <c r="E6" s="287">
        <v>5.0000000000000001E-3</v>
      </c>
      <c r="F6" s="288">
        <f>C6*D6*E6/2000</f>
        <v>2.4375E-3</v>
      </c>
      <c r="G6" s="289">
        <v>22800</v>
      </c>
      <c r="H6" s="290">
        <f>F6*G6</f>
        <v>55.575000000000003</v>
      </c>
    </row>
    <row r="7" spans="1:8" ht="15" thickBot="1" x14ac:dyDescent="0.3">
      <c r="A7" s="650" t="s">
        <v>7</v>
      </c>
      <c r="B7" s="650"/>
      <c r="C7" s="279">
        <f>SUM(C5:C6)</f>
        <v>5</v>
      </c>
      <c r="D7" s="279">
        <f>SUM(D5:D6)</f>
        <v>350</v>
      </c>
      <c r="E7" s="279"/>
      <c r="F7" s="292">
        <f>SUM(F5:F6)</f>
        <v>2.5625000000000001E-3</v>
      </c>
      <c r="G7" s="279"/>
      <c r="H7" s="280">
        <f>SUM(H5:H6)</f>
        <v>58.425000000000004</v>
      </c>
    </row>
    <row r="9" spans="1:8" ht="16.5" x14ac:dyDescent="0.3">
      <c r="A9" s="42" t="s">
        <v>313</v>
      </c>
    </row>
    <row r="10" spans="1:8" ht="15" x14ac:dyDescent="0.3">
      <c r="B10" s="42" t="s">
        <v>309</v>
      </c>
    </row>
    <row r="11" spans="1:8" ht="16.5" x14ac:dyDescent="0.3">
      <c r="A11" s="42" t="s">
        <v>312</v>
      </c>
    </row>
  </sheetData>
  <mergeCells count="1">
    <mergeCell ref="A7:B7"/>
  </mergeCells>
  <pageMargins left="0.7" right="0.7" top="0.75" bottom="0.75" header="0.3" footer="0.3"/>
  <pageSetup scale="87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9E8D3EC8DB454AB6C7053844B0D62B" ma:contentTypeVersion="8" ma:contentTypeDescription="Create a new document." ma:contentTypeScope="" ma:versionID="23e7743e46bc0a4db732a4aa44d45d0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7f29d4d08e9dad81b64116602da1b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E5D39E-C4D9-477F-B6E8-56E2B907A625}"/>
</file>

<file path=customXml/itemProps2.xml><?xml version="1.0" encoding="utf-8"?>
<ds:datastoreItem xmlns:ds="http://schemas.openxmlformats.org/officeDocument/2006/customXml" ds:itemID="{3E75B3F7-C248-4309-898F-1856F32D5790}"/>
</file>

<file path=customXml/itemProps3.xml><?xml version="1.0" encoding="utf-8"?>
<ds:datastoreItem xmlns:ds="http://schemas.openxmlformats.org/officeDocument/2006/customXml" ds:itemID="{56B1549F-7BBC-4E8B-97BF-30190A06B9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17</vt:i4>
      </vt:variant>
    </vt:vector>
  </HeadingPairs>
  <TitlesOfParts>
    <vt:vector size="29" baseType="lpstr">
      <vt:lpstr>Facility Summary</vt:lpstr>
      <vt:lpstr>CT - Steady State</vt:lpstr>
      <vt:lpstr>CT Startups&amp;Shutdowns</vt:lpstr>
      <vt:lpstr>Auxiliary Boiler </vt:lpstr>
      <vt:lpstr>Fuel Gas Heater</vt:lpstr>
      <vt:lpstr>Emergency Generator</vt:lpstr>
      <vt:lpstr>Fire Water Pump </vt:lpstr>
      <vt:lpstr>Project HAPS</vt:lpstr>
      <vt:lpstr>Circuit Breakers SF6</vt:lpstr>
      <vt:lpstr>HARRISON T218 REV D 10042016</vt:lpstr>
      <vt:lpstr>HARRISON Cus Notes REV D</vt:lpstr>
      <vt:lpstr>Stack Parameters</vt:lpstr>
      <vt:lpstr>AuxBoilerHAP</vt:lpstr>
      <vt:lpstr>'Project HAPS'!CTHAP</vt:lpstr>
      <vt:lpstr>EGenHAP</vt:lpstr>
      <vt:lpstr>'Project HAPS'!FacilityHAP</vt:lpstr>
      <vt:lpstr>FacilityHAP</vt:lpstr>
      <vt:lpstr>FireWaterHAP</vt:lpstr>
      <vt:lpstr>FuelGasHAP</vt:lpstr>
      <vt:lpstr>'Auxiliary Boiler '!Print_Area</vt:lpstr>
      <vt:lpstr>'Circuit Breakers SF6'!Print_Area</vt:lpstr>
      <vt:lpstr>'CT - Steady State'!Print_Area</vt:lpstr>
      <vt:lpstr>'CT Startups&amp;Shutdowns'!Print_Area</vt:lpstr>
      <vt:lpstr>'Emergency Generator'!Print_Area</vt:lpstr>
      <vt:lpstr>'Facility Summary'!Print_Area</vt:lpstr>
      <vt:lpstr>'Fire Water Pump '!Print_Area</vt:lpstr>
      <vt:lpstr>'Fuel Gas Heater'!Print_Area</vt:lpstr>
      <vt:lpstr>'Project HAPS'!Print_Area</vt:lpstr>
      <vt:lpstr>'HARRISON T218 REV D 10042016'!Print_Titles</vt:lpstr>
    </vt:vector>
  </TitlesOfParts>
  <Company>erm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pflynn</dc:creator>
  <cp:lastModifiedBy>Taylor, Danielle R</cp:lastModifiedBy>
  <cp:lastPrinted>2013-12-23T16:08:34Z</cp:lastPrinted>
  <dcterms:created xsi:type="dcterms:W3CDTF">2004-08-19T15:45:10Z</dcterms:created>
  <dcterms:modified xsi:type="dcterms:W3CDTF">2017-01-03T20:00:45Z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0x010100E59E8D3EC8DB454AB6C7053844B0D62B</vt:lpwstr>
  </property>
</Properties>
</file>