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60" yWindow="150" windowWidth="7890" windowHeight="3750" activeTab="0"/>
  </bookViews>
  <sheets>
    <sheet name="Site Data" sheetId="1" r:id="rId1"/>
    <sheet name="D.A. A" sheetId="2" r:id="rId2"/>
    <sheet name="D.A. B" sheetId="3" r:id="rId3"/>
    <sheet name="D.A. C" sheetId="4" r:id="rId4"/>
    <sheet name="D.A. D" sheetId="5" r:id="rId5"/>
    <sheet name="D.A. E" sheetId="6" r:id="rId6"/>
    <sheet name="Runoff Reduction Summary" sheetId="7" r:id="rId7"/>
    <sheet name="Channel and Flood Protection" sheetId="8" r:id="rId8"/>
  </sheets>
  <definedNames>
    <definedName name="_xlnm.Print_Area" localSheetId="7">'Channel and Flood Protection'!$A$1:$J$98</definedName>
    <definedName name="_xlnm.Print_Area" localSheetId="1">'D.A. A'!$A$1:$O$46</definedName>
    <definedName name="_xlnm.Print_Area" localSheetId="2">'D.A. B'!$A$1:$O$46</definedName>
    <definedName name="_xlnm.Print_Area" localSheetId="3">'D.A. C'!$A$1:$O$46</definedName>
    <definedName name="_xlnm.Print_Area" localSheetId="4">'D.A. D'!$A$1:$O$46</definedName>
    <definedName name="_xlnm.Print_Area" localSheetId="5">'D.A. E'!$A$1:$O$46</definedName>
    <definedName name="solver_cvg" localSheetId="7" hidden="1">0.0001</definedName>
    <definedName name="solver_drv" localSheetId="7" hidden="1">1</definedName>
    <definedName name="solver_est" localSheetId="7" hidden="1">1</definedName>
    <definedName name="solver_itr" localSheetId="7" hidden="1">100</definedName>
    <definedName name="solver_lhs1" localSheetId="7" hidden="1">'Channel and Flood Protection'!#REF!</definedName>
    <definedName name="solver_lin" localSheetId="7" hidden="1">2</definedName>
    <definedName name="solver_neg" localSheetId="7" hidden="1">2</definedName>
    <definedName name="solver_num" localSheetId="7" hidden="1">0</definedName>
    <definedName name="solver_nwt" localSheetId="7" hidden="1">1</definedName>
    <definedName name="solver_pre" localSheetId="7" hidden="1">0.000001</definedName>
    <definedName name="solver_rel1" localSheetId="7" hidden="1">2</definedName>
    <definedName name="solver_rhs1" localSheetId="7" hidden="1">'Channel and Flood Protection'!#REF!</definedName>
    <definedName name="solver_scl" localSheetId="7" hidden="1">2</definedName>
    <definedName name="solver_sho" localSheetId="7" hidden="1">2</definedName>
    <definedName name="solver_tim" localSheetId="7" hidden="1">100</definedName>
    <definedName name="solver_tol" localSheetId="7" hidden="1">0.05</definedName>
    <definedName name="solver_typ" localSheetId="7" hidden="1">1</definedName>
    <definedName name="solver_val" localSheetId="7" hidden="1">0</definedName>
  </definedNames>
  <calcPr fullCalcOnLoad="1"/>
</workbook>
</file>

<file path=xl/comments2.xml><?xml version="1.0" encoding="utf-8"?>
<comments xmlns="http://schemas.openxmlformats.org/spreadsheetml/2006/main">
  <authors>
    <author>Greg</author>
  </authors>
  <commentList>
    <comment ref="L27" authorId="0">
      <text>
        <r>
          <rPr>
            <sz val="8"/>
            <rFont val="Tahoma"/>
            <family val="2"/>
          </rPr>
          <t>Note:
Storage Volume = Surface Area x Depth x Void Ratio</t>
        </r>
      </text>
    </comment>
    <comment ref="L37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  <comment ref="L23" authorId="0">
      <text>
        <r>
          <rPr>
            <sz val="8"/>
            <rFont val="Tahoma"/>
            <family val="2"/>
          </rPr>
          <t>Note:
Storage Volume = Surface Area x Ponding Depth</t>
        </r>
      </text>
    </comment>
    <comment ref="L33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  <comment ref="L19" authorId="0">
      <text>
        <r>
          <rPr>
            <sz val="8"/>
            <rFont val="Tahoma"/>
            <family val="2"/>
          </rPr>
          <t>Note:
Storage Volume = Surface Area x  ( Depth of Filter Media x Void Ratio)</t>
        </r>
      </text>
    </comment>
  </commentList>
</comments>
</file>

<file path=xl/comments3.xml><?xml version="1.0" encoding="utf-8"?>
<comments xmlns="http://schemas.openxmlformats.org/spreadsheetml/2006/main">
  <authors>
    <author>Greg</author>
  </authors>
  <commentList>
    <comment ref="L19" authorId="0">
      <text>
        <r>
          <rPr>
            <sz val="8"/>
            <rFont val="Tahoma"/>
            <family val="2"/>
          </rPr>
          <t>Note:
Storage Volume = Surface Area x  ( Depth of Filter Media x Void Ratio)</t>
        </r>
      </text>
    </comment>
    <comment ref="L23" authorId="0">
      <text>
        <r>
          <rPr>
            <sz val="8"/>
            <rFont val="Tahoma"/>
            <family val="2"/>
          </rPr>
          <t>Note:
Storage Volume = Surface Area x Ponding Depth</t>
        </r>
      </text>
    </comment>
    <comment ref="L2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  <comment ref="L27" authorId="0">
      <text>
        <r>
          <rPr>
            <sz val="8"/>
            <rFont val="Tahoma"/>
            <family val="2"/>
          </rPr>
          <t>Note:
Storage Volume = Surface Area x Depth x Void Ratio</t>
        </r>
      </text>
    </comment>
    <comment ref="L33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</commentList>
</comments>
</file>

<file path=xl/comments4.xml><?xml version="1.0" encoding="utf-8"?>
<comments xmlns="http://schemas.openxmlformats.org/spreadsheetml/2006/main">
  <authors>
    <author>Greg</author>
  </authors>
  <commentList>
    <comment ref="L19" authorId="0">
      <text>
        <r>
          <rPr>
            <sz val="8"/>
            <rFont val="Tahoma"/>
            <family val="2"/>
          </rPr>
          <t>Note:
Storage Volume = Surface Area x  ( Depth of Filter Media x Void Ratio)</t>
        </r>
      </text>
    </comment>
    <comment ref="L23" authorId="0">
      <text>
        <r>
          <rPr>
            <sz val="8"/>
            <rFont val="Tahoma"/>
            <family val="2"/>
          </rPr>
          <t>Note:
Storage Volume = Surface Area x Ponding Depth</t>
        </r>
      </text>
    </comment>
    <comment ref="L2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  <comment ref="L27" authorId="0">
      <text>
        <r>
          <rPr>
            <sz val="8"/>
            <rFont val="Tahoma"/>
            <family val="2"/>
          </rPr>
          <t>Note:
Storage Volume = Surface Area x Depth x Void Ratio</t>
        </r>
      </text>
    </comment>
    <comment ref="L33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</commentList>
</comments>
</file>

<file path=xl/comments5.xml><?xml version="1.0" encoding="utf-8"?>
<comments xmlns="http://schemas.openxmlformats.org/spreadsheetml/2006/main">
  <authors>
    <author>Greg</author>
  </authors>
  <commentList>
    <comment ref="L19" authorId="0">
      <text>
        <r>
          <rPr>
            <sz val="8"/>
            <rFont val="Tahoma"/>
            <family val="2"/>
          </rPr>
          <t>Note:
Storage Volume = Surface Area x  ( Depth of Filter Media x Void Ratio)</t>
        </r>
      </text>
    </comment>
    <comment ref="L23" authorId="0">
      <text>
        <r>
          <rPr>
            <sz val="8"/>
            <rFont val="Tahoma"/>
            <family val="2"/>
          </rPr>
          <t>Note:
Storage Volume = Surface Area x Ponding Depth</t>
        </r>
      </text>
    </comment>
    <comment ref="L2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  <comment ref="L27" authorId="0">
      <text>
        <r>
          <rPr>
            <sz val="8"/>
            <rFont val="Tahoma"/>
            <family val="2"/>
          </rPr>
          <t>Note:
Storage Volume = Surface Area x Depth x Void Ratio</t>
        </r>
      </text>
    </comment>
    <comment ref="L33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</commentList>
</comments>
</file>

<file path=xl/comments6.xml><?xml version="1.0" encoding="utf-8"?>
<comments xmlns="http://schemas.openxmlformats.org/spreadsheetml/2006/main">
  <authors>
    <author>Greg</author>
  </authors>
  <commentList>
    <comment ref="L19" authorId="0">
      <text>
        <r>
          <rPr>
            <sz val="8"/>
            <rFont val="Tahoma"/>
            <family val="2"/>
          </rPr>
          <t>Note:
Storage Volume = Surface Area x  ( Depth of Filter Media x Void Ratio)</t>
        </r>
      </text>
    </comment>
    <comment ref="L23" authorId="0">
      <text>
        <r>
          <rPr>
            <sz val="8"/>
            <rFont val="Tahoma"/>
            <family val="2"/>
          </rPr>
          <t>Note:
Storage Volume = Surface Area x Ponding Depth</t>
        </r>
      </text>
    </comment>
    <comment ref="L2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  <comment ref="L27" authorId="0">
      <text>
        <r>
          <rPr>
            <sz val="8"/>
            <rFont val="Tahoma"/>
            <family val="2"/>
          </rPr>
          <t>Note:
Storage Volume = Surface Area x Depth x Void Ratio</t>
        </r>
      </text>
    </comment>
    <comment ref="L33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sz val="8"/>
            <rFont val="Tahoma"/>
            <family val="2"/>
          </rPr>
          <t>Note:
Storage Volume = Surface Area x  (Ponding Depth + Depth of Filter Media and Stone x Void Ratio)</t>
        </r>
      </text>
    </comment>
  </commentList>
</comments>
</file>

<file path=xl/sharedStrings.xml><?xml version="1.0" encoding="utf-8"?>
<sst xmlns="http://schemas.openxmlformats.org/spreadsheetml/2006/main" count="958" uniqueCount="152">
  <si>
    <t>data input cells</t>
  </si>
  <si>
    <t>calculation cells</t>
  </si>
  <si>
    <t>constant values</t>
  </si>
  <si>
    <t>A soils</t>
  </si>
  <si>
    <t>B Soils</t>
  </si>
  <si>
    <t>C Soils</t>
  </si>
  <si>
    <t>D Soils</t>
  </si>
  <si>
    <t>Totals</t>
  </si>
  <si>
    <t>Total</t>
  </si>
  <si>
    <t>Description of Credit</t>
  </si>
  <si>
    <t>Site Name:</t>
  </si>
  <si>
    <t>Drainage Area A</t>
  </si>
  <si>
    <t>Site Data</t>
  </si>
  <si>
    <t>Drainage Area (acres)</t>
  </si>
  <si>
    <t xml:space="preserve">Impervious Cover </t>
  </si>
  <si>
    <t>Target Rainfall Event (in)</t>
  </si>
  <si>
    <t>Area (acres)</t>
  </si>
  <si>
    <t>Weighted CN</t>
  </si>
  <si>
    <t>CN</t>
  </si>
  <si>
    <t>S</t>
  </si>
  <si>
    <t>1-year storm</t>
  </si>
  <si>
    <t>v</t>
  </si>
  <si>
    <t>HSG A soils</t>
  </si>
  <si>
    <t>HSG B Soils</t>
  </si>
  <si>
    <t>HSG C Soils</t>
  </si>
  <si>
    <t>HSG D Soils</t>
  </si>
  <si>
    <t>Land Cover Type</t>
  </si>
  <si>
    <t>Runoff Reduction Rainfall Event (inches)</t>
  </si>
  <si>
    <t>Impervious Cover in Contributing Drainage Area (acres)</t>
  </si>
  <si>
    <t>Storage Volume Provided by Practice (cubic feet)</t>
  </si>
  <si>
    <t>N/A</t>
  </si>
  <si>
    <t>Target Runoff Reduction Volume, RRv (acre-feet)</t>
  </si>
  <si>
    <t>Target Runoff Reduction Volume, RRv (cubic feet)</t>
  </si>
  <si>
    <t>Runoff Reduction Volume Remaining (cubic feet)</t>
  </si>
  <si>
    <t>Drainage Area A Post-Development Land Cover (acres)</t>
  </si>
  <si>
    <t>Stormwater Runoff Reduction Summary</t>
  </si>
  <si>
    <t>Managed Turf</t>
  </si>
  <si>
    <t>Rv Coefficients</t>
  </si>
  <si>
    <t>Impervious Cover</t>
  </si>
  <si>
    <t>Land Cover Summary</t>
  </si>
  <si>
    <t>Weighted Rv(turf)</t>
  </si>
  <si>
    <t>% Managed Turf</t>
  </si>
  <si>
    <t>Rv(impervious)</t>
  </si>
  <si>
    <t>% Impervious</t>
  </si>
  <si>
    <t>Site Rv</t>
  </si>
  <si>
    <t>Is the proposed development:</t>
  </si>
  <si>
    <t>a) Redevelopment?</t>
  </si>
  <si>
    <t>b) Brownfield redevelopment?</t>
  </si>
  <si>
    <t>c) High density (&gt;7 units per acre)?</t>
  </si>
  <si>
    <t>d) Vertical Density, (Floor to Area Ratio (FAR) of 2 or &gt;18 units per acre)?</t>
  </si>
  <si>
    <t>e) Mixed use or Transit Oriented Development (within 1/2 mile of transit)?</t>
  </si>
  <si>
    <t>West Virginia MS4 Stormwater Compliance Spreadsheet</t>
  </si>
  <si>
    <t>Development Credits (Select all that apply)</t>
  </si>
  <si>
    <t>Yes</t>
  </si>
  <si>
    <t>No</t>
  </si>
  <si>
    <t>Total Credits (inches)</t>
  </si>
  <si>
    <t>Apply Runoff Reduction Practices</t>
  </si>
  <si>
    <t>Runoff Reduction Practice</t>
  </si>
  <si>
    <t>1. Vegetated Roof</t>
  </si>
  <si>
    <t>Vegetated Roof</t>
  </si>
  <si>
    <t>2. Impermeable Surface Disconnection</t>
  </si>
  <si>
    <t>3. Permeable Pavement</t>
  </si>
  <si>
    <t>4. Grass Channel</t>
  </si>
  <si>
    <t>5. Dry Swale</t>
  </si>
  <si>
    <t>6. Bioretention</t>
  </si>
  <si>
    <t>7. Infiltration</t>
  </si>
  <si>
    <t>8. Extended Detention Pond</t>
  </si>
  <si>
    <t>9. Sheetflow to Filter/Open Space</t>
  </si>
  <si>
    <t>Volume Received by Practice (cubic feet)</t>
  </si>
  <si>
    <t>Volume Received from Upstream Practices (cubic feet)</t>
  </si>
  <si>
    <t>Total Volume Received by Practice (cubic feet)</t>
  </si>
  <si>
    <t>Runoff Reduction (cubic feet)</t>
  </si>
  <si>
    <t>Remaining Volume (cubic feet)</t>
  </si>
  <si>
    <t>Downstream Practice</t>
  </si>
  <si>
    <t>Managed Turf in Contributing Drainage Area (acres)</t>
  </si>
  <si>
    <t>Subtract 100% of the provided storage volume.</t>
  </si>
  <si>
    <t>Simple Disconnection to A/B Soils or Amended Filter Path</t>
  </si>
  <si>
    <t>Simple Disconnection to C/D Soils</t>
  </si>
  <si>
    <t>To Rain Garden</t>
  </si>
  <si>
    <t>To Rainwater Harvesting</t>
  </si>
  <si>
    <t>Grass Channel A/B Soils (Spec #3)</t>
  </si>
  <si>
    <t>Grass Channel C/D Soils (Spec #3)</t>
  </si>
  <si>
    <t xml:space="preserve">Grass Channel with Compost Amended Soils </t>
  </si>
  <si>
    <t>Infiltration</t>
  </si>
  <si>
    <t>Extended Detention Pond</t>
  </si>
  <si>
    <t>Sheetflow to Conservation Area with A/B Soils</t>
  </si>
  <si>
    <t>Sheetflow to Conservation Area with C/D Soils</t>
  </si>
  <si>
    <t>Sheetflow to Vegetated Filter Strip in A Soils or Compost Amended B/C/D Soils</t>
  </si>
  <si>
    <t>Downstream Options</t>
  </si>
  <si>
    <t>Reduce volume conveyed through grass channel by 30%.</t>
  </si>
  <si>
    <t>Reduce volume conveyed through grass channel by 10%.</t>
  </si>
  <si>
    <t>Reduce volume conveyed through grass channel by 20%.</t>
  </si>
  <si>
    <t>Disconnection Area of Practice (square feet)</t>
  </si>
  <si>
    <t>Subtract a variable % of the provided storage volume based on annual re-use.</t>
  </si>
  <si>
    <t>% Credit</t>
  </si>
  <si>
    <t>Forest/Preserved Open Space</t>
  </si>
  <si>
    <t>Weighted Rv(forest)</t>
  </si>
  <si>
    <t>% Forest</t>
  </si>
  <si>
    <t>Rv(turf)</t>
  </si>
  <si>
    <t>Reduce volume conveyed to conservation area by 0.04 cu. ft per sq. ft. of conservation area.</t>
  </si>
  <si>
    <t>Reduce volume conveyed to conservation area by 0.02 cu. ft per sq. ft. of conservation area.</t>
  </si>
  <si>
    <t>Reduce volume conveyed to conservation area by 0.09 cu. ft per sq. ft. of conservation area.</t>
  </si>
  <si>
    <t>Reduce volume conveyed to conservation area by 0.06 cu. ft per sq. ft. of conservation area.</t>
  </si>
  <si>
    <t>2-year storm</t>
  </si>
  <si>
    <t>10-year storm</t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</si>
  <si>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no Runoff Reduction</t>
    </r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</si>
  <si>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Runoff Reduction</t>
    </r>
  </si>
  <si>
    <t xml:space="preserve">Forest/Preserved Open Space </t>
  </si>
  <si>
    <t xml:space="preserve">Managed Turf </t>
  </si>
  <si>
    <t>Site Information</t>
  </si>
  <si>
    <t>To Residential Rain Garden</t>
  </si>
  <si>
    <t>Drainage Area B</t>
  </si>
  <si>
    <t>Drainage Area C</t>
  </si>
  <si>
    <t>Drainage Area D</t>
  </si>
  <si>
    <t>Drainage Area E</t>
  </si>
  <si>
    <t>Forest/Preserved Open Space (acres)</t>
  </si>
  <si>
    <t>Managed Turf (acres)</t>
  </si>
  <si>
    <t>Impervious Cover (acres)</t>
  </si>
  <si>
    <t>Site Area (acres)</t>
  </si>
  <si>
    <t>To Stormwater Planter</t>
  </si>
  <si>
    <t>Storage Volume Provided By Runoff Reduction Practices (cf)</t>
  </si>
  <si>
    <t>2:1 Mitigation Runoff Volume (cubic feet)</t>
  </si>
  <si>
    <t>1.5:1 Mitigation Runoff Volume (cubic feet)</t>
  </si>
  <si>
    <t>See Runoff Reduction Summary Tab for Site Results</t>
  </si>
  <si>
    <t>Runoff Reduction Volume Achieved for Drainage Area B:</t>
  </si>
  <si>
    <t>Runoff Reduction Volume Achieved for Drainage Area C:</t>
  </si>
  <si>
    <t>Runoff Reduction Volume Achieved for Drainage Area D:</t>
  </si>
  <si>
    <t>Runoff Reduction Volume Achieved for Drainage Area E:</t>
  </si>
  <si>
    <t>Total Mitigation Runoff Volume Required (cubic feet)</t>
  </si>
  <si>
    <t>Adjusted CN for D.A. A</t>
  </si>
  <si>
    <r>
      <t>Based on the use of Runoff Reduction practices in the various drainage areas, the spreadsheet calculates an adjusted RV</t>
    </r>
    <r>
      <rPr>
        <b/>
        <vertAlign val="subscript"/>
        <sz val="10"/>
        <color indexed="12"/>
        <rFont val="Arial"/>
        <family val="2"/>
      </rPr>
      <t>Developed</t>
    </r>
    <r>
      <rPr>
        <b/>
        <sz val="10"/>
        <color indexed="12"/>
        <rFont val="Arial"/>
        <family val="2"/>
      </rPr>
      <t xml:space="preserve"> and adjusted Curve Number.</t>
    </r>
  </si>
  <si>
    <t>Post-Development Land Cover</t>
  </si>
  <si>
    <t>Reduce volume directed to extended detention pond by 10%.</t>
  </si>
  <si>
    <t>Adjusted CN for D.A. B</t>
  </si>
  <si>
    <t>Adjusted CN for D.A. C</t>
  </si>
  <si>
    <t>Adjusted CN for D.A. D</t>
  </si>
  <si>
    <t>Adjusted CN for D.A. E</t>
  </si>
  <si>
    <t>Sheetflow to Vegetated Filter Strip in A/B Soils or Compost Amended C/D Soils</t>
  </si>
  <si>
    <t>Grass Channel A/B Soils</t>
  </si>
  <si>
    <t>Grass Channel C/D Soils</t>
  </si>
  <si>
    <t>Permeable Pavement</t>
  </si>
  <si>
    <t>Dry Swale</t>
  </si>
  <si>
    <t>Bioretention</t>
  </si>
  <si>
    <t>Drainage Area E Post-Development Land Cover (acres)</t>
  </si>
  <si>
    <t>Drainage Area D Post-Development Land Cover (acres)</t>
  </si>
  <si>
    <t>Drainage Area C Post-Development Land Cover (acres)</t>
  </si>
  <si>
    <t>Drainage Area B Post-Development Land Cover (acres)</t>
  </si>
  <si>
    <t>Runoff Produced by 1" Storm (cf)</t>
  </si>
  <si>
    <t>Runoff Reduction Volume Achieved for Drainage Area A (cubic feet):</t>
  </si>
  <si>
    <t>Runoff Volume Remaining from 1" Storm (cubic feet):</t>
  </si>
  <si>
    <t>Total Runoff Reduction Achieved (cubic feet)</t>
  </si>
  <si>
    <t>Description of Area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</si>
</sst>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?_);_(@_)"/>
    <numFmt numFmtId="176" formatCode="_(* #,##0.0000_);_(* \(#,##0.0000\);_(* &quot;-&quot;????_);_(@_)"/>
    <numFmt numFmtId="177" formatCode="0.0000000"/>
    <numFmt numFmtId="178" formatCode="0.00000000"/>
    <numFmt numFmtId="179" formatCode="0.000000000"/>
    <numFmt numFmtId="180" formatCode="#,##0.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vertAlign val="subscript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64" fontId="0" fillId="34" borderId="11" xfId="0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1" fontId="0" fillId="0" borderId="0" xfId="0" applyNumberFormat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 wrapText="1"/>
      <protection/>
    </xf>
    <xf numFmtId="179" fontId="0" fillId="0" borderId="0" xfId="0" applyNumberFormat="1" applyAlignment="1" applyProtection="1">
      <alignment/>
      <protection/>
    </xf>
    <xf numFmtId="2" fontId="0" fillId="33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/>
      <protection/>
    </xf>
    <xf numFmtId="3" fontId="0" fillId="34" borderId="10" xfId="0" applyNumberForma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1" fontId="0" fillId="34" borderId="15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wrapText="1"/>
      <protection locked="0"/>
    </xf>
    <xf numFmtId="2" fontId="4" fillId="34" borderId="10" xfId="0" applyNumberFormat="1" applyFont="1" applyFill="1" applyBorder="1" applyAlignment="1" applyProtection="1">
      <alignment horizontal="center" wrapText="1"/>
      <protection/>
    </xf>
    <xf numFmtId="2" fontId="4" fillId="34" borderId="16" xfId="0" applyNumberFormat="1" applyFont="1" applyFill="1" applyBorder="1" applyAlignment="1" applyProtection="1">
      <alignment horizontal="center" wrapText="1"/>
      <protection/>
    </xf>
    <xf numFmtId="1" fontId="0" fillId="35" borderId="12" xfId="0" applyNumberFormat="1" applyFont="1" applyFill="1" applyBorder="1" applyAlignment="1" applyProtection="1">
      <alignment horizontal="center"/>
      <protection/>
    </xf>
    <xf numFmtId="1" fontId="0" fillId="35" borderId="13" xfId="0" applyNumberFormat="1" applyFont="1" applyFill="1" applyBorder="1" applyAlignment="1" applyProtection="1">
      <alignment horizontal="center"/>
      <protection/>
    </xf>
    <xf numFmtId="1" fontId="0" fillId="35" borderId="17" xfId="0" applyNumberFormat="1" applyFont="1" applyFill="1" applyBorder="1" applyAlignment="1" applyProtection="1">
      <alignment horizontal="center"/>
      <protection/>
    </xf>
    <xf numFmtId="1" fontId="0" fillId="35" borderId="18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" fontId="4" fillId="36" borderId="16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center" wrapText="1"/>
      <protection/>
    </xf>
    <xf numFmtId="4" fontId="0" fillId="0" borderId="0" xfId="0" applyNumberForma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 wrapText="1"/>
      <protection/>
    </xf>
    <xf numFmtId="2" fontId="0" fillId="34" borderId="10" xfId="0" applyNumberForma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43" fontId="0" fillId="0" borderId="0" xfId="0" applyNumberForma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3" fontId="4" fillId="34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2" fontId="0" fillId="34" borderId="19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39" fontId="0" fillId="34" borderId="19" xfId="42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center" wrapText="1"/>
      <protection/>
    </xf>
    <xf numFmtId="1" fontId="0" fillId="34" borderId="20" xfId="0" applyNumberFormat="1" applyFill="1" applyBorder="1" applyAlignment="1" applyProtection="1">
      <alignment horizontal="center"/>
      <protection/>
    </xf>
    <xf numFmtId="0" fontId="17" fillId="37" borderId="21" xfId="0" applyFont="1" applyFill="1" applyBorder="1" applyAlignment="1" applyProtection="1">
      <alignment/>
      <protection/>
    </xf>
    <xf numFmtId="0" fontId="17" fillId="37" borderId="16" xfId="0" applyFont="1" applyFill="1" applyBorder="1" applyAlignment="1" applyProtection="1">
      <alignment/>
      <protection/>
    </xf>
    <xf numFmtId="0" fontId="18" fillId="37" borderId="20" xfId="0" applyFont="1" applyFill="1" applyBorder="1" applyAlignment="1" applyProtection="1">
      <alignment/>
      <protection/>
    </xf>
    <xf numFmtId="1" fontId="4" fillId="37" borderId="10" xfId="0" applyNumberFormat="1" applyFont="1" applyFill="1" applyBorder="1" applyAlignment="1" applyProtection="1">
      <alignment horizontal="center" wrapText="1"/>
      <protection/>
    </xf>
    <xf numFmtId="0" fontId="4" fillId="37" borderId="15" xfId="0" applyFont="1" applyFill="1" applyBorder="1" applyAlignment="1" applyProtection="1">
      <alignment horizontal="center" wrapText="1"/>
      <protection/>
    </xf>
    <xf numFmtId="0" fontId="4" fillId="37" borderId="10" xfId="0" applyFont="1" applyFill="1" applyBorder="1" applyAlignment="1" applyProtection="1">
      <alignment horizontal="center" wrapText="1"/>
      <protection/>
    </xf>
    <xf numFmtId="2" fontId="0" fillId="37" borderId="20" xfId="0" applyNumberFormat="1" applyFill="1" applyBorder="1" applyAlignment="1" applyProtection="1">
      <alignment horizontal="center" wrapText="1"/>
      <protection/>
    </xf>
    <xf numFmtId="1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Fill="1" applyBorder="1" applyAlignment="1" applyProtection="1">
      <alignment horizontal="center" vertical="center" wrapText="1"/>
      <protection/>
    </xf>
    <xf numFmtId="0" fontId="0" fillId="37" borderId="20" xfId="0" applyFill="1" applyBorder="1" applyAlignment="1" applyProtection="1">
      <alignment horizontal="center"/>
      <protection/>
    </xf>
    <xf numFmtId="1" fontId="0" fillId="37" borderId="20" xfId="0" applyNumberFormat="1" applyFill="1" applyBorder="1" applyAlignment="1" applyProtection="1">
      <alignment horizontal="center"/>
      <protection/>
    </xf>
    <xf numFmtId="0" fontId="17" fillId="37" borderId="22" xfId="0" applyFont="1" applyFill="1" applyBorder="1" applyAlignment="1" applyProtection="1">
      <alignment/>
      <protection/>
    </xf>
    <xf numFmtId="0" fontId="17" fillId="37" borderId="23" xfId="0" applyFont="1" applyFill="1" applyBorder="1" applyAlignment="1" applyProtection="1">
      <alignment/>
      <protection/>
    </xf>
    <xf numFmtId="1" fontId="4" fillId="0" borderId="16" xfId="0" applyNumberFormat="1" applyFont="1" applyBorder="1" applyAlignment="1" applyProtection="1">
      <alignment horizontal="center" wrapText="1"/>
      <protection/>
    </xf>
    <xf numFmtId="1" fontId="4" fillId="37" borderId="16" xfId="0" applyNumberFormat="1" applyFont="1" applyFill="1" applyBorder="1" applyAlignment="1" applyProtection="1">
      <alignment horizontal="center" wrapText="1"/>
      <protection/>
    </xf>
    <xf numFmtId="0" fontId="17" fillId="37" borderId="24" xfId="0" applyFont="1" applyFill="1" applyBorder="1" applyAlignment="1" applyProtection="1">
      <alignment/>
      <protection/>
    </xf>
    <xf numFmtId="0" fontId="17" fillId="37" borderId="20" xfId="0" applyFont="1" applyFill="1" applyBorder="1" applyAlignment="1" applyProtection="1">
      <alignment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wrapText="1"/>
      <protection/>
    </xf>
    <xf numFmtId="1" fontId="4" fillId="34" borderId="10" xfId="0" applyNumberFormat="1" applyFont="1" applyFill="1" applyBorder="1" applyAlignment="1" applyProtection="1">
      <alignment horizontal="center" wrapText="1"/>
      <protection/>
    </xf>
    <xf numFmtId="1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wrapText="1"/>
      <protection/>
    </xf>
    <xf numFmtId="1" fontId="0" fillId="34" borderId="16" xfId="0" applyNumberFormat="1" applyFill="1" applyBorder="1" applyAlignment="1" applyProtection="1">
      <alignment horizontal="center"/>
      <protection/>
    </xf>
    <xf numFmtId="1" fontId="4" fillId="37" borderId="15" xfId="0" applyNumberFormat="1" applyFont="1" applyFill="1" applyBorder="1" applyAlignment="1" applyProtection="1">
      <alignment horizontal="center" wrapText="1"/>
      <protection/>
    </xf>
    <xf numFmtId="1" fontId="0" fillId="34" borderId="15" xfId="0" applyNumberFormat="1" applyFill="1" applyBorder="1" applyAlignment="1" applyProtection="1">
      <alignment horizontal="center"/>
      <protection/>
    </xf>
    <xf numFmtId="9" fontId="0" fillId="0" borderId="0" xfId="59" applyFont="1" applyAlignment="1" applyProtection="1">
      <alignment/>
      <protection/>
    </xf>
    <xf numFmtId="9" fontId="0" fillId="0" borderId="0" xfId="0" applyNumberFormat="1" applyBorder="1" applyAlignment="1" applyProtection="1">
      <alignment horizontal="right" vertical="center" wrapText="1"/>
      <protection/>
    </xf>
    <xf numFmtId="9" fontId="0" fillId="0" borderId="0" xfId="0" applyNumberForma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9" fontId="18" fillId="37" borderId="20" xfId="0" applyNumberFormat="1" applyFont="1" applyFill="1" applyBorder="1" applyAlignment="1" applyProtection="1">
      <alignment/>
      <protection/>
    </xf>
    <xf numFmtId="9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/>
      <protection/>
    </xf>
    <xf numFmtId="2" fontId="0" fillId="34" borderId="10" xfId="0" applyNumberFormat="1" applyFont="1" applyFill="1" applyBorder="1" applyAlignment="1" applyProtection="1">
      <alignment horizontal="right"/>
      <protection/>
    </xf>
    <xf numFmtId="3" fontId="0" fillId="34" borderId="10" xfId="0" applyNumberFormat="1" applyFont="1" applyFill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1" fontId="4" fillId="34" borderId="1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0" fillId="0" borderId="0" xfId="0" applyBorder="1" applyAlignment="1" applyProtection="1">
      <alignment horizontal="left" vertical="justify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0" fillId="35" borderId="17" xfId="0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2" fontId="0" fillId="34" borderId="25" xfId="0" applyNumberFormat="1" applyFont="1" applyFill="1" applyBorder="1" applyAlignment="1" applyProtection="1">
      <alignment horizontal="center"/>
      <protection/>
    </xf>
    <xf numFmtId="9" fontId="0" fillId="34" borderId="28" xfId="59" applyFont="1" applyFill="1" applyBorder="1" applyAlignment="1" applyProtection="1">
      <alignment horizontal="center"/>
      <protection/>
    </xf>
    <xf numFmtId="2" fontId="0" fillId="34" borderId="28" xfId="0" applyNumberFormat="1" applyFont="1" applyFill="1" applyBorder="1" applyAlignment="1" applyProtection="1">
      <alignment horizontal="center"/>
      <protection/>
    </xf>
    <xf numFmtId="39" fontId="0" fillId="34" borderId="28" xfId="42" applyNumberFormat="1" applyFont="1" applyFill="1" applyBorder="1" applyAlignment="1" applyProtection="1">
      <alignment horizontal="center"/>
      <protection/>
    </xf>
    <xf numFmtId="2" fontId="4" fillId="34" borderId="27" xfId="0" applyNumberFormat="1" applyFont="1" applyFill="1" applyBorder="1" applyAlignment="1" applyProtection="1">
      <alignment horizontal="center"/>
      <protection/>
    </xf>
    <xf numFmtId="2" fontId="0" fillId="34" borderId="29" xfId="0" applyNumberFormat="1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2" fontId="0" fillId="34" borderId="33" xfId="0" applyNumberFormat="1" applyFont="1" applyFill="1" applyBorder="1" applyAlignment="1" applyProtection="1">
      <alignment horizontal="center"/>
      <protection/>
    </xf>
    <xf numFmtId="2" fontId="0" fillId="34" borderId="34" xfId="59" applyNumberFormat="1" applyFont="1" applyFill="1" applyBorder="1" applyAlignment="1" applyProtection="1">
      <alignment horizontal="center"/>
      <protection/>
    </xf>
    <xf numFmtId="2" fontId="0" fillId="34" borderId="28" xfId="59" applyNumberFormat="1" applyFont="1" applyFill="1" applyBorder="1" applyAlignment="1" applyProtection="1">
      <alignment horizontal="center"/>
      <protection/>
    </xf>
    <xf numFmtId="4" fontId="0" fillId="34" borderId="28" xfId="59" applyNumberFormat="1" applyFont="1" applyFill="1" applyBorder="1" applyAlignment="1" applyProtection="1">
      <alignment horizontal="center"/>
      <protection/>
    </xf>
    <xf numFmtId="9" fontId="0" fillId="0" borderId="0" xfId="59" applyAlignment="1" applyProtection="1">
      <alignment/>
      <protection/>
    </xf>
    <xf numFmtId="2" fontId="0" fillId="34" borderId="14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1" fontId="0" fillId="0" borderId="35" xfId="0" applyNumberForma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right"/>
      <protection/>
    </xf>
    <xf numFmtId="164" fontId="6" fillId="0" borderId="1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indent="1"/>
      <protection/>
    </xf>
    <xf numFmtId="0" fontId="13" fillId="0" borderId="0" xfId="0" applyFont="1" applyBorder="1" applyAlignment="1" applyProtection="1">
      <alignment horizontal="center"/>
      <protection/>
    </xf>
    <xf numFmtId="17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 horizontal="left" indent="1"/>
      <protection/>
    </xf>
    <xf numFmtId="2" fontId="14" fillId="0" borderId="0" xfId="0" applyNumberFormat="1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9" fontId="0" fillId="33" borderId="14" xfId="0" applyNumberForma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ill="1" applyBorder="1" applyAlignment="1" applyProtection="1">
      <alignment horizontal="center" wrapText="1"/>
      <protection locked="0"/>
    </xf>
    <xf numFmtId="2" fontId="0" fillId="37" borderId="20" xfId="0" applyNumberForma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horizontal="center" wrapText="1"/>
      <protection/>
    </xf>
    <xf numFmtId="9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9" fontId="0" fillId="0" borderId="0" xfId="59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 horizontal="center" wrapText="1"/>
      <protection/>
    </xf>
    <xf numFmtId="1" fontId="4" fillId="34" borderId="10" xfId="0" applyNumberFormat="1" applyFont="1" applyFill="1" applyBorder="1" applyAlignment="1" applyProtection="1">
      <alignment horizontal="center"/>
      <protection/>
    </xf>
    <xf numFmtId="3" fontId="4" fillId="34" borderId="10" xfId="42" applyNumberFormat="1" applyFont="1" applyFill="1" applyBorder="1" applyAlignment="1" applyProtection="1">
      <alignment horizontal="center"/>
      <protection/>
    </xf>
    <xf numFmtId="0" fontId="17" fillId="37" borderId="2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25" xfId="0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 wrapText="1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" fontId="4" fillId="0" borderId="20" xfId="0" applyNumberFormat="1" applyFont="1" applyBorder="1" applyAlignment="1" applyProtection="1">
      <alignment horizontal="right"/>
      <protection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0" fillId="0" borderId="30" xfId="0" applyFont="1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center" wrapText="1"/>
      <protection/>
    </xf>
    <xf numFmtId="0" fontId="0" fillId="0" borderId="37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34"/>
  <sheetViews>
    <sheetView tabSelected="1" view="pageBreakPreview" zoomScaleNormal="85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2.140625" style="4" customWidth="1"/>
    <col min="2" max="6" width="11.7109375" style="4" customWidth="1"/>
    <col min="7" max="7" width="18.421875" style="4" customWidth="1"/>
    <col min="8" max="8" width="18.421875" style="5" customWidth="1"/>
    <col min="9" max="9" width="18.7109375" style="4" hidden="1" customWidth="1"/>
    <col min="10" max="10" width="20.8515625" style="5" customWidth="1"/>
    <col min="11" max="11" width="34.00390625" style="4" bestFit="1" customWidth="1"/>
    <col min="12" max="12" width="34.00390625" style="6" customWidth="1"/>
    <col min="13" max="16384" width="9.140625" style="4" customWidth="1"/>
  </cols>
  <sheetData>
    <row r="1" spans="1:5" ht="18.75" customHeight="1">
      <c r="A1" s="238" t="s">
        <v>51</v>
      </c>
      <c r="B1" s="239"/>
      <c r="C1" s="239"/>
      <c r="D1" s="239"/>
      <c r="E1" s="239"/>
    </row>
    <row r="2" spans="1:5" ht="18.75" customHeight="1">
      <c r="A2" s="102"/>
      <c r="B2" s="73"/>
      <c r="C2" s="73"/>
      <c r="D2" s="73"/>
      <c r="E2" s="73"/>
    </row>
    <row r="3" spans="1:5" ht="18.75" customHeight="1">
      <c r="A3" s="10"/>
      <c r="B3" s="11" t="s">
        <v>0</v>
      </c>
      <c r="C3" s="73"/>
      <c r="D3" s="73"/>
      <c r="E3" s="73"/>
    </row>
    <row r="4" spans="1:5" ht="18.75" customHeight="1">
      <c r="A4" s="12"/>
      <c r="B4" s="11" t="s">
        <v>1</v>
      </c>
      <c r="C4" s="73"/>
      <c r="D4" s="73"/>
      <c r="E4" s="73"/>
    </row>
    <row r="5" spans="1:5" ht="18.75" customHeight="1">
      <c r="A5" s="13"/>
      <c r="B5" s="11" t="s">
        <v>2</v>
      </c>
      <c r="C5" s="73"/>
      <c r="D5" s="73"/>
      <c r="E5" s="73"/>
    </row>
    <row r="6" spans="1:5" ht="18.75" customHeight="1">
      <c r="A6" s="123"/>
      <c r="B6" s="11"/>
      <c r="C6" s="73"/>
      <c r="D6" s="73"/>
      <c r="E6" s="73"/>
    </row>
    <row r="7" spans="1:5" ht="18">
      <c r="A7" s="7" t="s">
        <v>12</v>
      </c>
      <c r="D7" s="3"/>
      <c r="E7" s="3"/>
    </row>
    <row r="8" spans="1:5" ht="18">
      <c r="A8" s="7"/>
      <c r="D8" s="3"/>
      <c r="E8" s="3"/>
    </row>
    <row r="9" spans="1:9" ht="15.75">
      <c r="A9" s="8" t="s">
        <v>10</v>
      </c>
      <c r="B9" s="241"/>
      <c r="C9" s="241"/>
      <c r="D9" s="241"/>
      <c r="E9" s="241"/>
      <c r="F9" s="241"/>
      <c r="G9" s="41"/>
      <c r="H9" s="41"/>
      <c r="I9" s="41"/>
    </row>
    <row r="10" ht="12.75">
      <c r="A10" s="9"/>
    </row>
    <row r="12" ht="18">
      <c r="A12" s="14" t="s">
        <v>109</v>
      </c>
    </row>
    <row r="13" ht="12.75">
      <c r="A13" s="9"/>
    </row>
    <row r="14" spans="1:6" ht="12.75">
      <c r="A14" s="15" t="s">
        <v>131</v>
      </c>
      <c r="B14" s="16"/>
      <c r="C14" s="9"/>
      <c r="D14" s="16"/>
      <c r="E14" s="16"/>
      <c r="F14" s="16"/>
    </row>
    <row r="15" spans="1:6" ht="12.75">
      <c r="A15" s="15" t="s">
        <v>11</v>
      </c>
      <c r="B15" s="16"/>
      <c r="C15" s="9"/>
      <c r="D15" s="16"/>
      <c r="E15" s="16"/>
      <c r="F15" s="16"/>
    </row>
    <row r="16" spans="1:6" ht="12.75">
      <c r="A16" s="22" t="s">
        <v>26</v>
      </c>
      <c r="B16" s="23" t="s">
        <v>22</v>
      </c>
      <c r="C16" s="23" t="s">
        <v>23</v>
      </c>
      <c r="D16" s="23" t="s">
        <v>24</v>
      </c>
      <c r="E16" s="23" t="s">
        <v>25</v>
      </c>
      <c r="F16" s="106" t="s">
        <v>7</v>
      </c>
    </row>
    <row r="17" spans="1:6" ht="12.75">
      <c r="A17" s="164" t="s">
        <v>115</v>
      </c>
      <c r="B17" s="68">
        <v>0</v>
      </c>
      <c r="C17" s="2">
        <v>0</v>
      </c>
      <c r="D17" s="2">
        <v>0</v>
      </c>
      <c r="E17" s="2">
        <v>0</v>
      </c>
      <c r="F17" s="18">
        <f>SUM(B17:E17)</f>
        <v>0</v>
      </c>
    </row>
    <row r="18" spans="1:6" ht="12.75">
      <c r="A18" s="69" t="s">
        <v>116</v>
      </c>
      <c r="B18" s="68">
        <v>0</v>
      </c>
      <c r="C18" s="2">
        <v>0</v>
      </c>
      <c r="D18" s="2">
        <v>0</v>
      </c>
      <c r="E18" s="2">
        <v>0</v>
      </c>
      <c r="F18" s="18">
        <f>SUM(B18:E18)</f>
        <v>0</v>
      </c>
    </row>
    <row r="19" spans="1:6" ht="12.75">
      <c r="A19" s="69" t="s">
        <v>117</v>
      </c>
      <c r="B19" s="68">
        <v>0</v>
      </c>
      <c r="C19" s="2">
        <v>0</v>
      </c>
      <c r="D19" s="2">
        <v>0</v>
      </c>
      <c r="E19" s="2">
        <v>0</v>
      </c>
      <c r="F19" s="18">
        <f>SUM(B19:E19)</f>
        <v>0</v>
      </c>
    </row>
    <row r="20" spans="1:6" ht="12.75">
      <c r="A20" s="15"/>
      <c r="B20" s="16"/>
      <c r="C20" s="19"/>
      <c r="D20" s="16"/>
      <c r="E20" s="107" t="s">
        <v>8</v>
      </c>
      <c r="F20" s="18">
        <f>SUM(F17:F19)</f>
        <v>0</v>
      </c>
    </row>
    <row r="21" spans="1:6" ht="12.75">
      <c r="A21" s="15"/>
      <c r="B21" s="16"/>
      <c r="C21" s="9"/>
      <c r="D21" s="16"/>
      <c r="E21" s="16"/>
      <c r="F21" s="16"/>
    </row>
    <row r="22" spans="1:6" ht="12.75">
      <c r="A22" s="15" t="s">
        <v>111</v>
      </c>
      <c r="B22" s="16"/>
      <c r="C22" s="9"/>
      <c r="D22" s="16"/>
      <c r="E22" s="16"/>
      <c r="F22" s="16"/>
    </row>
    <row r="23" spans="1:6" ht="12.75">
      <c r="A23" s="22" t="s">
        <v>26</v>
      </c>
      <c r="B23" s="23" t="s">
        <v>22</v>
      </c>
      <c r="C23" s="23" t="s">
        <v>23</v>
      </c>
      <c r="D23" s="23" t="s">
        <v>24</v>
      </c>
      <c r="E23" s="23" t="s">
        <v>25</v>
      </c>
      <c r="F23" s="106" t="s">
        <v>7</v>
      </c>
    </row>
    <row r="24" spans="1:6" ht="12.75">
      <c r="A24" s="164" t="s">
        <v>115</v>
      </c>
      <c r="B24" s="68">
        <v>0</v>
      </c>
      <c r="C24" s="2">
        <v>0</v>
      </c>
      <c r="D24" s="2">
        <v>0</v>
      </c>
      <c r="E24" s="2">
        <v>0</v>
      </c>
      <c r="F24" s="18">
        <f>SUM(B24:E24)</f>
        <v>0</v>
      </c>
    </row>
    <row r="25" spans="1:6" ht="12.75">
      <c r="A25" s="69" t="s">
        <v>116</v>
      </c>
      <c r="B25" s="68">
        <v>0</v>
      </c>
      <c r="C25" s="2">
        <v>0</v>
      </c>
      <c r="D25" s="2">
        <v>0</v>
      </c>
      <c r="E25" s="2">
        <v>0</v>
      </c>
      <c r="F25" s="18">
        <f>SUM(B25:E25)</f>
        <v>0</v>
      </c>
    </row>
    <row r="26" spans="1:6" ht="12.75">
      <c r="A26" s="69" t="s">
        <v>117</v>
      </c>
      <c r="B26" s="68">
        <v>0</v>
      </c>
      <c r="C26" s="2">
        <v>0</v>
      </c>
      <c r="D26" s="2">
        <v>0</v>
      </c>
      <c r="E26" s="2">
        <v>0</v>
      </c>
      <c r="F26" s="18">
        <f>SUM(B26:E26)</f>
        <v>0</v>
      </c>
    </row>
    <row r="27" spans="1:6" ht="12.75">
      <c r="A27" s="15"/>
      <c r="B27" s="16"/>
      <c r="C27" s="19"/>
      <c r="D27" s="16"/>
      <c r="E27" s="107" t="s">
        <v>8</v>
      </c>
      <c r="F27" s="18">
        <f>SUM(F24:F26)</f>
        <v>0</v>
      </c>
    </row>
    <row r="28" spans="1:6" ht="12.75">
      <c r="A28" s="15"/>
      <c r="B28" s="16"/>
      <c r="C28" s="9"/>
      <c r="D28" s="16"/>
      <c r="E28" s="16"/>
      <c r="F28" s="16"/>
    </row>
    <row r="29" spans="1:6" ht="12.75">
      <c r="A29" s="15" t="s">
        <v>112</v>
      </c>
      <c r="B29" s="16"/>
      <c r="C29" s="9"/>
      <c r="D29" s="16"/>
      <c r="E29" s="16"/>
      <c r="F29" s="16"/>
    </row>
    <row r="30" spans="1:6" ht="12.75">
      <c r="A30" s="22" t="s">
        <v>26</v>
      </c>
      <c r="B30" s="23" t="s">
        <v>22</v>
      </c>
      <c r="C30" s="23" t="s">
        <v>23</v>
      </c>
      <c r="D30" s="23" t="s">
        <v>24</v>
      </c>
      <c r="E30" s="23" t="s">
        <v>25</v>
      </c>
      <c r="F30" s="106" t="s">
        <v>7</v>
      </c>
    </row>
    <row r="31" spans="1:6" ht="12.75">
      <c r="A31" s="164" t="s">
        <v>115</v>
      </c>
      <c r="B31" s="68">
        <v>0</v>
      </c>
      <c r="C31" s="2">
        <v>0</v>
      </c>
      <c r="D31" s="2">
        <v>0</v>
      </c>
      <c r="E31" s="2">
        <v>0</v>
      </c>
      <c r="F31" s="18">
        <f>SUM(B31:E31)</f>
        <v>0</v>
      </c>
    </row>
    <row r="32" spans="1:6" ht="12.75">
      <c r="A32" s="69" t="s">
        <v>116</v>
      </c>
      <c r="B32" s="68">
        <v>0</v>
      </c>
      <c r="C32" s="2">
        <v>0</v>
      </c>
      <c r="D32" s="2">
        <v>0</v>
      </c>
      <c r="E32" s="2">
        <v>0</v>
      </c>
      <c r="F32" s="18">
        <f>SUM(B32:E32)</f>
        <v>0</v>
      </c>
    </row>
    <row r="33" spans="1:6" ht="12.75">
      <c r="A33" s="69" t="s">
        <v>117</v>
      </c>
      <c r="B33" s="68">
        <v>0</v>
      </c>
      <c r="C33" s="2">
        <v>0</v>
      </c>
      <c r="D33" s="2">
        <v>0</v>
      </c>
      <c r="E33" s="2">
        <v>0</v>
      </c>
      <c r="F33" s="187">
        <f>SUM(B33:E33)</f>
        <v>0</v>
      </c>
    </row>
    <row r="34" spans="1:6" ht="12.75">
      <c r="A34" s="15"/>
      <c r="B34" s="16"/>
      <c r="C34" s="19"/>
      <c r="D34" s="16"/>
      <c r="E34" s="107" t="s">
        <v>8</v>
      </c>
      <c r="F34" s="18">
        <f>SUM(F31:F33)</f>
        <v>0</v>
      </c>
    </row>
    <row r="35" spans="1:6" ht="12.75">
      <c r="A35" s="15"/>
      <c r="B35" s="16"/>
      <c r="C35" s="19"/>
      <c r="D35" s="16"/>
      <c r="E35" s="107"/>
      <c r="F35" s="62"/>
    </row>
    <row r="36" spans="1:6" ht="12.75">
      <c r="A36" s="15" t="s">
        <v>113</v>
      </c>
      <c r="B36" s="16"/>
      <c r="C36" s="9"/>
      <c r="D36" s="16"/>
      <c r="E36" s="16"/>
      <c r="F36" s="16"/>
    </row>
    <row r="37" spans="1:6" ht="12.75">
      <c r="A37" s="22" t="s">
        <v>26</v>
      </c>
      <c r="B37" s="23" t="s">
        <v>22</v>
      </c>
      <c r="C37" s="23" t="s">
        <v>23</v>
      </c>
      <c r="D37" s="23" t="s">
        <v>24</v>
      </c>
      <c r="E37" s="23" t="s">
        <v>25</v>
      </c>
      <c r="F37" s="106" t="s">
        <v>7</v>
      </c>
    </row>
    <row r="38" spans="1:6" ht="12.75">
      <c r="A38" s="164" t="s">
        <v>115</v>
      </c>
      <c r="B38" s="68">
        <v>0</v>
      </c>
      <c r="C38" s="2">
        <v>0</v>
      </c>
      <c r="D38" s="2">
        <v>0</v>
      </c>
      <c r="E38" s="2">
        <v>0</v>
      </c>
      <c r="F38" s="18">
        <f>SUM(B38:E38)</f>
        <v>0</v>
      </c>
    </row>
    <row r="39" spans="1:6" ht="12.75">
      <c r="A39" s="69" t="s">
        <v>116</v>
      </c>
      <c r="B39" s="68">
        <v>0</v>
      </c>
      <c r="C39" s="2">
        <v>0</v>
      </c>
      <c r="D39" s="2">
        <v>0</v>
      </c>
      <c r="E39" s="2">
        <v>0</v>
      </c>
      <c r="F39" s="18">
        <f>SUM(B39:E39)</f>
        <v>0</v>
      </c>
    </row>
    <row r="40" spans="1:6" ht="12.75">
      <c r="A40" s="69" t="s">
        <v>117</v>
      </c>
      <c r="B40" s="68">
        <v>0</v>
      </c>
      <c r="C40" s="2">
        <v>0</v>
      </c>
      <c r="D40" s="2">
        <v>0</v>
      </c>
      <c r="E40" s="2">
        <v>0</v>
      </c>
      <c r="F40" s="18">
        <f>SUM(B40:E40)</f>
        <v>0</v>
      </c>
    </row>
    <row r="41" spans="1:6" ht="12.75">
      <c r="A41" s="15"/>
      <c r="B41" s="16"/>
      <c r="C41" s="19"/>
      <c r="D41" s="16"/>
      <c r="E41" s="107" t="s">
        <v>8</v>
      </c>
      <c r="F41" s="18">
        <f>SUM(F38:F40)</f>
        <v>0</v>
      </c>
    </row>
    <row r="42" spans="1:6" ht="12.75">
      <c r="A42" s="15"/>
      <c r="B42" s="16"/>
      <c r="C42" s="19"/>
      <c r="D42" s="16"/>
      <c r="E42" s="107"/>
      <c r="F42" s="62"/>
    </row>
    <row r="43" spans="1:6" ht="12.75">
      <c r="A43" s="15" t="s">
        <v>114</v>
      </c>
      <c r="B43" s="16"/>
      <c r="C43" s="19"/>
      <c r="D43" s="16"/>
      <c r="E43" s="107"/>
      <c r="F43" s="62"/>
    </row>
    <row r="44" spans="1:6" ht="12.75">
      <c r="A44" s="22" t="s">
        <v>26</v>
      </c>
      <c r="B44" s="23" t="s">
        <v>22</v>
      </c>
      <c r="C44" s="23" t="s">
        <v>23</v>
      </c>
      <c r="D44" s="23" t="s">
        <v>24</v>
      </c>
      <c r="E44" s="23" t="s">
        <v>25</v>
      </c>
      <c r="F44" s="106" t="s">
        <v>7</v>
      </c>
    </row>
    <row r="45" spans="1:6" ht="12.75">
      <c r="A45" s="164" t="s">
        <v>115</v>
      </c>
      <c r="B45" s="68">
        <v>0</v>
      </c>
      <c r="C45" s="2">
        <v>0</v>
      </c>
      <c r="D45" s="2">
        <v>0</v>
      </c>
      <c r="E45" s="2">
        <v>0</v>
      </c>
      <c r="F45" s="18">
        <f>SUM(B45:E45)</f>
        <v>0</v>
      </c>
    </row>
    <row r="46" spans="1:6" ht="12.75">
      <c r="A46" s="69" t="s">
        <v>116</v>
      </c>
      <c r="B46" s="68">
        <v>0</v>
      </c>
      <c r="C46" s="2">
        <v>0</v>
      </c>
      <c r="D46" s="2">
        <v>0</v>
      </c>
      <c r="E46" s="2">
        <v>0</v>
      </c>
      <c r="F46" s="18">
        <f>SUM(B46:E46)</f>
        <v>0</v>
      </c>
    </row>
    <row r="47" spans="1:6" ht="12.75">
      <c r="A47" s="69" t="s">
        <v>117</v>
      </c>
      <c r="B47" s="68">
        <v>0</v>
      </c>
      <c r="C47" s="2">
        <v>0</v>
      </c>
      <c r="D47" s="2">
        <v>0</v>
      </c>
      <c r="E47" s="2">
        <v>0</v>
      </c>
      <c r="F47" s="18">
        <f>SUM(B47:E47)</f>
        <v>0</v>
      </c>
    </row>
    <row r="48" spans="1:6" ht="12.75">
      <c r="A48" s="15"/>
      <c r="B48" s="16"/>
      <c r="C48" s="19"/>
      <c r="D48" s="16"/>
      <c r="E48" s="107" t="s">
        <v>8</v>
      </c>
      <c r="F48" s="18">
        <f>SUM(F45:F47)</f>
        <v>0</v>
      </c>
    </row>
    <row r="49" ht="12.75">
      <c r="F49" s="27"/>
    </row>
    <row r="50" spans="1:6" ht="12.75">
      <c r="A50" s="15"/>
      <c r="B50" s="16"/>
      <c r="C50" s="19"/>
      <c r="D50" s="16"/>
      <c r="E50" s="107"/>
      <c r="F50" s="62"/>
    </row>
    <row r="51" spans="1:6" ht="12.75">
      <c r="A51" s="21" t="s">
        <v>37</v>
      </c>
      <c r="B51" s="16"/>
      <c r="C51" s="16"/>
      <c r="D51" s="16"/>
      <c r="E51" s="16"/>
      <c r="F51" s="20"/>
    </row>
    <row r="52" spans="1:6" ht="12.75">
      <c r="A52" s="22" t="s">
        <v>26</v>
      </c>
      <c r="B52" s="23" t="s">
        <v>22</v>
      </c>
      <c r="C52" s="23" t="s">
        <v>23</v>
      </c>
      <c r="D52" s="23" t="s">
        <v>24</v>
      </c>
      <c r="E52" s="23" t="s">
        <v>25</v>
      </c>
      <c r="F52" s="16"/>
    </row>
    <row r="53" spans="1:6" ht="12.75">
      <c r="A53" s="164" t="s">
        <v>95</v>
      </c>
      <c r="B53" s="117">
        <v>0</v>
      </c>
      <c r="C53" s="117">
        <v>0</v>
      </c>
      <c r="D53" s="117">
        <v>0</v>
      </c>
      <c r="E53" s="117">
        <v>0</v>
      </c>
      <c r="F53" s="16"/>
    </row>
    <row r="54" spans="1:6" ht="12.75">
      <c r="A54" s="116" t="s">
        <v>36</v>
      </c>
      <c r="B54" s="117">
        <v>0.15</v>
      </c>
      <c r="C54" s="117">
        <v>0.2</v>
      </c>
      <c r="D54" s="117">
        <v>0.22</v>
      </c>
      <c r="E54" s="117">
        <v>0.25</v>
      </c>
      <c r="F54" s="16"/>
    </row>
    <row r="55" spans="1:6" ht="12.75">
      <c r="A55" s="116" t="s">
        <v>38</v>
      </c>
      <c r="B55" s="117">
        <v>0.95</v>
      </c>
      <c r="C55" s="117">
        <v>0.95</v>
      </c>
      <c r="D55" s="117">
        <v>0.95</v>
      </c>
      <c r="E55" s="117">
        <v>0.95</v>
      </c>
      <c r="F55" s="16"/>
    </row>
    <row r="56" spans="3:6" ht="12.75">
      <c r="C56" s="27"/>
      <c r="D56" s="27"/>
      <c r="E56" s="27"/>
      <c r="F56" s="16"/>
    </row>
    <row r="57" spans="1:6" ht="13.5" thickBot="1">
      <c r="A57" s="9" t="s">
        <v>39</v>
      </c>
      <c r="B57" s="75"/>
      <c r="C57" s="27"/>
      <c r="D57" s="27"/>
      <c r="E57" s="27"/>
      <c r="F57" s="16"/>
    </row>
    <row r="58" spans="1:6" ht="12.75">
      <c r="A58" s="193" t="s">
        <v>115</v>
      </c>
      <c r="B58" s="196">
        <f>F17+F24+F31+F38+F45</f>
        <v>0</v>
      </c>
      <c r="C58" s="27"/>
      <c r="D58" s="27"/>
      <c r="E58" s="27"/>
      <c r="F58" s="16"/>
    </row>
    <row r="59" spans="1:6" ht="12.75">
      <c r="A59" s="194" t="s">
        <v>96</v>
      </c>
      <c r="B59" s="192">
        <f>B53</f>
        <v>0</v>
      </c>
      <c r="C59" s="27"/>
      <c r="D59" s="27"/>
      <c r="E59" s="27"/>
      <c r="F59" s="16"/>
    </row>
    <row r="60" spans="1:6" ht="12.75">
      <c r="A60" s="194" t="s">
        <v>97</v>
      </c>
      <c r="B60" s="188" t="e">
        <f>B58/B67</f>
        <v>#DIV/0!</v>
      </c>
      <c r="C60" s="27"/>
      <c r="D60" s="27"/>
      <c r="E60" s="27"/>
      <c r="F60" s="16"/>
    </row>
    <row r="61" spans="1:6" ht="12.75">
      <c r="A61" s="194" t="s">
        <v>116</v>
      </c>
      <c r="B61" s="198">
        <f>F18+F25+F32+F39+F46</f>
        <v>0</v>
      </c>
      <c r="C61" s="27"/>
      <c r="D61" s="27"/>
      <c r="E61" s="27"/>
      <c r="F61" s="16"/>
    </row>
    <row r="62" spans="1:6" ht="12.75">
      <c r="A62" s="194" t="s">
        <v>40</v>
      </c>
      <c r="B62" s="189">
        <f>IF(B61&gt;0,(SUMPRODUCT(B18:E18,B54:E54)+SUMPRODUCT(B25:E25,B54:E54)+SUMPRODUCT(B32:E32,B54:E54)+SUMPRODUCT(B39:E39,B54:E54)+SUMPRODUCT(B46:E46,B54:E54))/B61,0)</f>
        <v>0</v>
      </c>
      <c r="C62" s="27"/>
      <c r="D62" s="27"/>
      <c r="E62" s="27"/>
      <c r="F62" s="16"/>
    </row>
    <row r="63" spans="1:6" ht="12.75">
      <c r="A63" s="194" t="s">
        <v>41</v>
      </c>
      <c r="B63" s="188" t="e">
        <f>B61/B67</f>
        <v>#DIV/0!</v>
      </c>
      <c r="C63" s="27"/>
      <c r="D63" s="27"/>
      <c r="E63" s="27"/>
      <c r="F63" s="16"/>
    </row>
    <row r="64" spans="1:6" ht="12.75">
      <c r="A64" s="194" t="s">
        <v>117</v>
      </c>
      <c r="B64" s="199">
        <f>F19+F26+F33+F40+F47</f>
        <v>0</v>
      </c>
      <c r="C64" s="27"/>
      <c r="D64" s="27"/>
      <c r="E64" s="27"/>
      <c r="F64" s="16"/>
    </row>
    <row r="65" spans="1:6" ht="12.75">
      <c r="A65" s="194" t="s">
        <v>42</v>
      </c>
      <c r="B65" s="190">
        <f>B55</f>
        <v>0.95</v>
      </c>
      <c r="C65" s="27"/>
      <c r="D65" s="27"/>
      <c r="E65" s="27"/>
      <c r="F65" s="16"/>
    </row>
    <row r="66" spans="1:6" ht="12.75">
      <c r="A66" s="194" t="s">
        <v>43</v>
      </c>
      <c r="B66" s="188" t="e">
        <f>B64/B67</f>
        <v>#DIV/0!</v>
      </c>
      <c r="C66" s="27"/>
      <c r="D66" s="27"/>
      <c r="E66" s="27"/>
      <c r="F66" s="16"/>
    </row>
    <row r="67" spans="1:6" ht="12.75">
      <c r="A67" s="194" t="s">
        <v>118</v>
      </c>
      <c r="B67" s="197">
        <f>B58+B61+B64</f>
        <v>0</v>
      </c>
      <c r="C67" s="27"/>
      <c r="D67" s="27"/>
      <c r="E67" s="27"/>
      <c r="F67" s="16"/>
    </row>
    <row r="68" spans="1:6" ht="13.5" thickBot="1">
      <c r="A68" s="195" t="s">
        <v>44</v>
      </c>
      <c r="B68" s="191" t="e">
        <f>B59*B60+B62*B63+B65*B66</f>
        <v>#DIV/0!</v>
      </c>
      <c r="C68" s="27"/>
      <c r="D68" s="27"/>
      <c r="E68" s="27"/>
      <c r="F68" s="16"/>
    </row>
    <row r="69" spans="1:6" ht="12.75">
      <c r="A69" s="53"/>
      <c r="B69" s="31"/>
      <c r="C69" s="27"/>
      <c r="D69" s="27"/>
      <c r="E69" s="27"/>
      <c r="F69" s="16"/>
    </row>
    <row r="70" spans="1:6" ht="12.75">
      <c r="A70" s="58" t="s">
        <v>52</v>
      </c>
      <c r="B70" s="31"/>
      <c r="C70" s="27"/>
      <c r="D70" s="27"/>
      <c r="E70" s="27"/>
      <c r="F70" s="16"/>
    </row>
    <row r="71" spans="1:6" ht="12.75">
      <c r="A71" s="237" t="s">
        <v>45</v>
      </c>
      <c r="B71" s="237"/>
      <c r="C71" s="237"/>
      <c r="D71" s="27"/>
      <c r="E71" s="27"/>
      <c r="F71" s="16"/>
    </row>
    <row r="72" spans="1:9" ht="12.75">
      <c r="A72" s="240" t="s">
        <v>46</v>
      </c>
      <c r="B72" s="240"/>
      <c r="C72" s="240"/>
      <c r="D72" s="111" t="s">
        <v>54</v>
      </c>
      <c r="E72" s="27"/>
      <c r="F72" s="16"/>
      <c r="I72" s="4" t="s">
        <v>53</v>
      </c>
    </row>
    <row r="73" spans="1:9" ht="12.75">
      <c r="A73" s="240" t="s">
        <v>47</v>
      </c>
      <c r="B73" s="240"/>
      <c r="C73" s="240"/>
      <c r="D73" s="111" t="s">
        <v>54</v>
      </c>
      <c r="E73" s="27"/>
      <c r="F73" s="16"/>
      <c r="I73" s="4" t="s">
        <v>54</v>
      </c>
    </row>
    <row r="74" spans="1:6" ht="12.75">
      <c r="A74" s="240" t="s">
        <v>48</v>
      </c>
      <c r="B74" s="240"/>
      <c r="C74" s="240"/>
      <c r="D74" s="111" t="s">
        <v>54</v>
      </c>
      <c r="E74" s="27"/>
      <c r="F74" s="16"/>
    </row>
    <row r="75" spans="1:6" ht="12.75">
      <c r="A75" s="240" t="s">
        <v>49</v>
      </c>
      <c r="B75" s="240"/>
      <c r="C75" s="240"/>
      <c r="D75" s="111" t="s">
        <v>54</v>
      </c>
      <c r="E75" s="27"/>
      <c r="F75" s="16"/>
    </row>
    <row r="76" spans="1:6" ht="12.75">
      <c r="A76" s="240" t="s">
        <v>50</v>
      </c>
      <c r="B76" s="240"/>
      <c r="C76" s="240"/>
      <c r="D76" s="111" t="s">
        <v>54</v>
      </c>
      <c r="E76" s="27"/>
      <c r="F76" s="16"/>
    </row>
    <row r="77" spans="1:6" ht="12.75">
      <c r="A77" s="53"/>
      <c r="B77" s="242" t="s">
        <v>55</v>
      </c>
      <c r="C77" s="243"/>
      <c r="D77" s="124">
        <f>IF(COUNTIF(D72:D76,I72)*0.2&lt;0.75,COUNTIF(D72:D76,I72)*0.2,0.75)</f>
        <v>0</v>
      </c>
      <c r="E77" s="27"/>
      <c r="F77" s="16"/>
    </row>
    <row r="78" spans="1:6" ht="12.75">
      <c r="A78" s="53"/>
      <c r="B78" s="31"/>
      <c r="C78" s="27"/>
      <c r="D78" s="27"/>
      <c r="E78" s="27"/>
      <c r="F78" s="16"/>
    </row>
    <row r="79" spans="1:6" ht="12.75">
      <c r="A79" s="16" t="s">
        <v>27</v>
      </c>
      <c r="B79" s="18">
        <f>1-D77</f>
        <v>1</v>
      </c>
      <c r="C79" s="27"/>
      <c r="D79" s="27"/>
      <c r="E79" s="27"/>
      <c r="F79" s="16"/>
    </row>
    <row r="80" spans="1:5" ht="12.75">
      <c r="A80" s="24" t="s">
        <v>31</v>
      </c>
      <c r="B80" s="18" t="e">
        <f>B79/12*B68*B67</f>
        <v>#DIV/0!</v>
      </c>
      <c r="C80" s="27"/>
      <c r="D80" s="120"/>
      <c r="E80" s="27"/>
    </row>
    <row r="81" spans="1:5" ht="25.5">
      <c r="A81" s="25" t="s">
        <v>32</v>
      </c>
      <c r="B81" s="70" t="e">
        <f>B80*43560</f>
        <v>#DIV/0!</v>
      </c>
      <c r="C81" s="28"/>
      <c r="D81" s="27"/>
      <c r="E81" s="27"/>
    </row>
    <row r="82" spans="3:4" ht="12.75">
      <c r="C82" s="29"/>
      <c r="D82" s="27"/>
    </row>
    <row r="83" spans="3:4" ht="12.75">
      <c r="C83" s="27"/>
      <c r="D83" s="27"/>
    </row>
    <row r="84" spans="3:4" ht="12.75">
      <c r="C84" s="30"/>
      <c r="D84" s="30"/>
    </row>
    <row r="85" spans="1:11" ht="18">
      <c r="A85" s="14"/>
      <c r="B85" s="16"/>
      <c r="C85" s="16"/>
      <c r="D85" s="16"/>
      <c r="E85" s="9"/>
      <c r="F85" s="20"/>
      <c r="I85" s="5"/>
      <c r="J85" s="4"/>
      <c r="K85" s="5"/>
    </row>
    <row r="86" spans="1:11" ht="12.75">
      <c r="A86" s="15"/>
      <c r="B86" s="16"/>
      <c r="C86" s="16"/>
      <c r="D86" s="16"/>
      <c r="E86" s="9"/>
      <c r="F86" s="20"/>
      <c r="I86" s="5"/>
      <c r="J86" s="4"/>
      <c r="K86" s="5"/>
    </row>
    <row r="87" spans="1:11" ht="12.75">
      <c r="A87" s="15"/>
      <c r="B87" s="17"/>
      <c r="C87" s="17"/>
      <c r="D87" s="17"/>
      <c r="E87" s="17"/>
      <c r="F87" s="17"/>
      <c r="G87" s="27"/>
      <c r="I87" s="5"/>
      <c r="J87" s="4"/>
      <c r="K87" s="5"/>
    </row>
    <row r="88" spans="1:11" ht="12.75">
      <c r="A88" s="61"/>
      <c r="B88" s="122"/>
      <c r="C88" s="122"/>
      <c r="D88" s="122"/>
      <c r="E88" s="122"/>
      <c r="F88" s="20"/>
      <c r="G88" s="27"/>
      <c r="H88" s="95"/>
      <c r="I88" s="5"/>
      <c r="J88" s="4"/>
      <c r="K88" s="5"/>
    </row>
    <row r="89" spans="1:11" ht="12.75" customHeight="1">
      <c r="A89" s="61"/>
      <c r="B89" s="122"/>
      <c r="C89" s="122"/>
      <c r="D89" s="122"/>
      <c r="E89" s="122"/>
      <c r="F89" s="20"/>
      <c r="G89" s="27"/>
      <c r="I89" s="5"/>
      <c r="J89" s="4"/>
      <c r="K89" s="5"/>
    </row>
    <row r="90" spans="1:11" ht="12.75">
      <c r="A90" s="61"/>
      <c r="B90" s="27"/>
      <c r="C90" s="114"/>
      <c r="D90" s="114"/>
      <c r="E90" s="114"/>
      <c r="F90" s="62"/>
      <c r="G90" s="27"/>
      <c r="H90" s="6"/>
      <c r="I90" s="6"/>
      <c r="J90" s="4"/>
      <c r="K90" s="5"/>
    </row>
    <row r="91" spans="1:11" ht="12.75">
      <c r="A91" s="61"/>
      <c r="B91" s="27"/>
      <c r="C91" s="114"/>
      <c r="D91" s="114"/>
      <c r="E91" s="114"/>
      <c r="F91" s="31"/>
      <c r="G91" s="27"/>
      <c r="H91" s="6"/>
      <c r="I91" s="6"/>
      <c r="J91" s="4"/>
      <c r="K91" s="5"/>
    </row>
    <row r="92" spans="1:11" ht="18">
      <c r="A92" s="97"/>
      <c r="B92" s="16"/>
      <c r="C92" s="16"/>
      <c r="D92" s="16"/>
      <c r="E92" s="16"/>
      <c r="F92" s="20"/>
      <c r="I92" s="5"/>
      <c r="J92" s="4"/>
      <c r="K92" s="5"/>
    </row>
    <row r="93" spans="1:11" ht="12.75">
      <c r="A93" s="21"/>
      <c r="B93" s="114"/>
      <c r="C93" s="114"/>
      <c r="D93" s="114"/>
      <c r="E93" s="114"/>
      <c r="F93" s="20"/>
      <c r="I93" s="5"/>
      <c r="J93" s="4"/>
      <c r="K93" s="5"/>
    </row>
    <row r="94" spans="1:21" ht="12.75">
      <c r="A94" s="24"/>
      <c r="B94" s="62"/>
      <c r="C94" s="114"/>
      <c r="D94" s="114"/>
      <c r="E94" s="114"/>
      <c r="F94" s="20"/>
      <c r="I94" s="5"/>
      <c r="J94" s="4"/>
      <c r="K94" s="5"/>
      <c r="L94" s="5"/>
      <c r="N94" s="5"/>
      <c r="O94" s="5"/>
      <c r="P94" s="5"/>
      <c r="Q94" s="5"/>
      <c r="R94" s="5"/>
      <c r="S94" s="5"/>
      <c r="U94" s="6"/>
    </row>
    <row r="95" spans="1:11" ht="12.75">
      <c r="A95" s="25"/>
      <c r="B95" s="100"/>
      <c r="C95" s="114"/>
      <c r="D95" s="114"/>
      <c r="E95" s="114"/>
      <c r="F95" s="20"/>
      <c r="I95" s="5"/>
      <c r="J95" s="4"/>
      <c r="K95" s="5"/>
    </row>
    <row r="96" spans="1:11" ht="12.75">
      <c r="A96" s="24"/>
      <c r="B96" s="114"/>
      <c r="C96" s="114"/>
      <c r="D96" s="114"/>
      <c r="E96" s="114"/>
      <c r="F96" s="20"/>
      <c r="I96" s="5"/>
      <c r="J96" s="4"/>
      <c r="K96" s="5"/>
    </row>
    <row r="97" spans="1:11" ht="12.75">
      <c r="A97" s="24"/>
      <c r="B97" s="114"/>
      <c r="C97" s="114"/>
      <c r="D97" s="114"/>
      <c r="E97" s="31"/>
      <c r="F97" s="20"/>
      <c r="I97" s="5"/>
      <c r="J97" s="4"/>
      <c r="K97" s="5"/>
    </row>
    <row r="98" spans="1:11" ht="12.75">
      <c r="A98" s="24"/>
      <c r="B98" s="114"/>
      <c r="C98" s="114"/>
      <c r="D98" s="114"/>
      <c r="E98" s="31"/>
      <c r="F98" s="20"/>
      <c r="I98" s="5"/>
      <c r="J98" s="4"/>
      <c r="K98" s="5"/>
    </row>
    <row r="99" spans="1:11" ht="12.75">
      <c r="A99" s="27"/>
      <c r="B99" s="27"/>
      <c r="C99" s="27"/>
      <c r="D99" s="27"/>
      <c r="E99" s="27"/>
      <c r="F99" s="20"/>
      <c r="I99" s="5"/>
      <c r="J99" s="4"/>
      <c r="K99" s="5"/>
    </row>
    <row r="100" spans="1:11" ht="12.75">
      <c r="A100" s="27"/>
      <c r="B100" s="27"/>
      <c r="C100" s="27"/>
      <c r="D100" s="27"/>
      <c r="E100" s="27"/>
      <c r="F100" s="20"/>
      <c r="I100" s="5"/>
      <c r="J100" s="4"/>
      <c r="K100" s="5"/>
    </row>
    <row r="101" spans="1:11" ht="12.75">
      <c r="A101" s="27"/>
      <c r="B101" s="27"/>
      <c r="C101" s="27"/>
      <c r="D101" s="27"/>
      <c r="E101" s="27"/>
      <c r="F101" s="20"/>
      <c r="I101" s="5"/>
      <c r="J101" s="4"/>
      <c r="K101" s="5"/>
    </row>
    <row r="102" spans="1:11" ht="12.75">
      <c r="A102" s="27"/>
      <c r="B102" s="27"/>
      <c r="C102" s="27"/>
      <c r="D102" s="27"/>
      <c r="E102" s="27"/>
      <c r="F102" s="20"/>
      <c r="I102" s="5"/>
      <c r="J102" s="4"/>
      <c r="K102" s="5"/>
    </row>
    <row r="103" spans="1:11" ht="12.75">
      <c r="A103" s="27"/>
      <c r="B103" s="27"/>
      <c r="C103" s="27"/>
      <c r="D103" s="27"/>
      <c r="E103" s="27"/>
      <c r="F103" s="20"/>
      <c r="I103" s="5"/>
      <c r="J103" s="4"/>
      <c r="K103" s="5"/>
    </row>
    <row r="104" spans="1:11" ht="18">
      <c r="A104" s="125"/>
      <c r="B104" s="114"/>
      <c r="C104" s="114"/>
      <c r="D104" s="114"/>
      <c r="E104" s="114"/>
      <c r="F104" s="20"/>
      <c r="G104" s="16"/>
      <c r="H104" s="72"/>
      <c r="I104" s="72"/>
      <c r="J104" s="16"/>
      <c r="K104" s="72"/>
    </row>
    <row r="105" spans="1:11" ht="12.75">
      <c r="A105" s="21"/>
      <c r="B105" s="114"/>
      <c r="C105" s="114"/>
      <c r="D105" s="114"/>
      <c r="E105" s="114"/>
      <c r="F105" s="20"/>
      <c r="G105" s="16"/>
      <c r="H105" s="72"/>
      <c r="I105" s="72"/>
      <c r="J105" s="16"/>
      <c r="K105" s="72"/>
    </row>
    <row r="106" spans="1:11" ht="12.75">
      <c r="A106" s="21"/>
      <c r="B106" s="114"/>
      <c r="C106" s="114"/>
      <c r="D106" s="114"/>
      <c r="E106" s="114"/>
      <c r="F106" s="20"/>
      <c r="G106" s="16"/>
      <c r="H106" s="72"/>
      <c r="I106" s="72"/>
      <c r="J106" s="16"/>
      <c r="K106" s="72"/>
    </row>
    <row r="107" spans="1:11" ht="12.75">
      <c r="A107" s="24"/>
      <c r="B107" s="17"/>
      <c r="C107" s="17"/>
      <c r="D107" s="17"/>
      <c r="E107" s="17"/>
      <c r="F107" s="17"/>
      <c r="G107" s="16"/>
      <c r="H107" s="72"/>
      <c r="I107" s="72"/>
      <c r="J107" s="16"/>
      <c r="K107" s="72"/>
    </row>
    <row r="108" spans="1:11" ht="12.75">
      <c r="A108" s="24"/>
      <c r="B108" s="122"/>
      <c r="C108" s="122"/>
      <c r="D108" s="122"/>
      <c r="E108" s="122"/>
      <c r="F108" s="62"/>
      <c r="G108" s="16"/>
      <c r="H108" s="72"/>
      <c r="I108" s="72"/>
      <c r="J108" s="16"/>
      <c r="K108" s="72"/>
    </row>
    <row r="109" spans="1:11" ht="12.75">
      <c r="A109" s="24"/>
      <c r="B109" s="114"/>
      <c r="C109" s="114"/>
      <c r="D109" s="114"/>
      <c r="E109" s="114"/>
      <c r="F109" s="20"/>
      <c r="G109" s="16"/>
      <c r="H109" s="72"/>
      <c r="I109" s="72"/>
      <c r="J109" s="16"/>
      <c r="K109" s="72"/>
    </row>
    <row r="110" spans="1:11" ht="12.75">
      <c r="A110" s="27"/>
      <c r="B110" s="114"/>
      <c r="C110" s="114"/>
      <c r="D110" s="114"/>
      <c r="E110" s="114"/>
      <c r="F110" s="20"/>
      <c r="G110" s="16"/>
      <c r="H110" s="72"/>
      <c r="I110" s="72"/>
      <c r="J110" s="16"/>
      <c r="K110" s="72"/>
    </row>
    <row r="111" spans="1:11" ht="12.75">
      <c r="A111" s="24"/>
      <c r="B111" s="114"/>
      <c r="C111" s="114"/>
      <c r="D111" s="114"/>
      <c r="E111" s="114"/>
      <c r="F111" s="20"/>
      <c r="G111" s="16"/>
      <c r="H111" s="72"/>
      <c r="I111" s="72"/>
      <c r="J111" s="16"/>
      <c r="K111" s="72"/>
    </row>
    <row r="112" spans="1:11" ht="12.75">
      <c r="A112" s="21"/>
      <c r="B112" s="114"/>
      <c r="C112" s="17"/>
      <c r="D112" s="114"/>
      <c r="E112" s="114"/>
      <c r="F112" s="114"/>
      <c r="G112" s="16"/>
      <c r="H112" s="72"/>
      <c r="I112" s="72"/>
      <c r="J112" s="16"/>
      <c r="K112" s="72"/>
    </row>
    <row r="113" spans="1:11" ht="12.75">
      <c r="A113" s="21"/>
      <c r="B113" s="17"/>
      <c r="C113" s="17"/>
      <c r="D113" s="17"/>
      <c r="E113" s="17"/>
      <c r="F113" s="17"/>
      <c r="G113" s="16"/>
      <c r="H113" s="72"/>
      <c r="I113" s="72"/>
      <c r="J113" s="16"/>
      <c r="K113" s="72"/>
    </row>
    <row r="114" spans="1:11" ht="12.75">
      <c r="A114" s="113"/>
      <c r="B114" s="62"/>
      <c r="C114" s="62"/>
      <c r="D114" s="62"/>
      <c r="E114" s="62"/>
      <c r="F114" s="62"/>
      <c r="G114" s="16"/>
      <c r="H114" s="72"/>
      <c r="I114" s="72"/>
      <c r="J114" s="16"/>
      <c r="K114" s="72"/>
    </row>
    <row r="115" spans="1:11" ht="12.75">
      <c r="A115" s="113"/>
      <c r="B115" s="62"/>
      <c r="C115" s="62"/>
      <c r="D115" s="62"/>
      <c r="E115" s="62"/>
      <c r="F115" s="62"/>
      <c r="G115" s="16"/>
      <c r="H115" s="72"/>
      <c r="I115" s="72"/>
      <c r="J115" s="16"/>
      <c r="K115" s="72"/>
    </row>
    <row r="116" spans="1:11" ht="12.75">
      <c r="A116" s="113"/>
      <c r="B116" s="62"/>
      <c r="C116" s="62"/>
      <c r="D116" s="62"/>
      <c r="E116" s="62"/>
      <c r="F116" s="62"/>
      <c r="G116" s="16"/>
      <c r="H116" s="72"/>
      <c r="I116" s="72"/>
      <c r="J116" s="16"/>
      <c r="K116" s="72"/>
    </row>
    <row r="117" spans="1:11" ht="12.75">
      <c r="A117" s="113"/>
      <c r="B117" s="62"/>
      <c r="C117" s="62"/>
      <c r="D117" s="62"/>
      <c r="E117" s="62"/>
      <c r="F117" s="62"/>
      <c r="G117" s="16"/>
      <c r="H117" s="72"/>
      <c r="I117" s="72"/>
      <c r="J117" s="16"/>
      <c r="K117" s="72"/>
    </row>
    <row r="118" spans="1:11" ht="12.75">
      <c r="A118" s="21"/>
      <c r="B118" s="114"/>
      <c r="C118" s="115"/>
      <c r="D118" s="114"/>
      <c r="E118" s="17"/>
      <c r="F118" s="62"/>
      <c r="G118" s="16"/>
      <c r="H118" s="72"/>
      <c r="I118" s="72"/>
      <c r="J118" s="16"/>
      <c r="K118" s="72"/>
    </row>
    <row r="119" spans="1:11" ht="12.75">
      <c r="A119" s="24"/>
      <c r="B119" s="114"/>
      <c r="C119" s="114"/>
      <c r="D119" s="114"/>
      <c r="E119" s="114"/>
      <c r="F119" s="20"/>
      <c r="G119" s="16"/>
      <c r="H119" s="72"/>
      <c r="I119" s="72"/>
      <c r="J119" s="16"/>
      <c r="K119" s="72"/>
    </row>
    <row r="120" spans="1:6" ht="12.75">
      <c r="A120" s="27"/>
      <c r="B120" s="27"/>
      <c r="C120" s="27"/>
      <c r="D120" s="27"/>
      <c r="E120" s="27"/>
      <c r="F120" s="27"/>
    </row>
    <row r="121" spans="1:6" ht="12.75">
      <c r="A121" s="17"/>
      <c r="B121" s="27"/>
      <c r="C121" s="27"/>
      <c r="D121" s="27"/>
      <c r="E121" s="27"/>
      <c r="F121" s="27"/>
    </row>
    <row r="122" spans="1:6" ht="12.75">
      <c r="A122" s="27"/>
      <c r="B122" s="126"/>
      <c r="C122" s="27"/>
      <c r="D122" s="27"/>
      <c r="E122" s="27"/>
      <c r="F122" s="27"/>
    </row>
    <row r="123" spans="1:6" ht="12.75">
      <c r="A123" s="27"/>
      <c r="B123" s="126"/>
      <c r="C123" s="27"/>
      <c r="D123" s="27"/>
      <c r="E123" s="27"/>
      <c r="F123" s="27"/>
    </row>
    <row r="124" spans="1:6" ht="12.75">
      <c r="A124" s="127"/>
      <c r="B124" s="126"/>
      <c r="C124" s="27"/>
      <c r="D124" s="27"/>
      <c r="E124" s="27"/>
      <c r="F124" s="27"/>
    </row>
    <row r="125" spans="1:6" ht="12.75">
      <c r="A125" s="27"/>
      <c r="B125" s="27"/>
      <c r="C125" s="27"/>
      <c r="D125" s="27"/>
      <c r="E125" s="27"/>
      <c r="F125" s="27"/>
    </row>
    <row r="126" spans="1:6" ht="12.75">
      <c r="A126" s="27"/>
      <c r="B126" s="27"/>
      <c r="C126" s="27"/>
      <c r="D126" s="27"/>
      <c r="E126" s="27"/>
      <c r="F126" s="27"/>
    </row>
    <row r="127" spans="1:6" ht="12.75">
      <c r="A127" s="21"/>
      <c r="B127" s="77"/>
      <c r="C127" s="27"/>
      <c r="D127" s="27"/>
      <c r="E127" s="27"/>
      <c r="F127" s="27"/>
    </row>
    <row r="128" spans="1:6" ht="12.75">
      <c r="A128" s="24"/>
      <c r="B128" s="62"/>
      <c r="C128" s="27"/>
      <c r="D128" s="27"/>
      <c r="E128" s="27"/>
      <c r="F128" s="27"/>
    </row>
    <row r="129" spans="1:6" ht="12.75">
      <c r="A129" s="25"/>
      <c r="B129" s="100"/>
      <c r="C129" s="27"/>
      <c r="D129" s="27"/>
      <c r="E129" s="27"/>
      <c r="F129" s="27"/>
    </row>
    <row r="130" spans="1:6" ht="12.75">
      <c r="A130" s="27"/>
      <c r="B130" s="27"/>
      <c r="C130" s="27"/>
      <c r="D130" s="27"/>
      <c r="E130" s="27"/>
      <c r="F130" s="27"/>
    </row>
    <row r="131" spans="1:6" ht="12.75">
      <c r="A131" s="27"/>
      <c r="B131" s="27"/>
      <c r="C131" s="27"/>
      <c r="D131" s="27"/>
      <c r="E131" s="27"/>
      <c r="F131" s="27"/>
    </row>
    <row r="132" spans="1:6" ht="12.75">
      <c r="A132" s="24"/>
      <c r="B132" s="27"/>
      <c r="C132" s="27"/>
      <c r="D132" s="27"/>
      <c r="E132" s="27"/>
      <c r="F132" s="27"/>
    </row>
    <row r="133" spans="1:6" ht="12.75">
      <c r="A133" s="27"/>
      <c r="B133" s="27"/>
      <c r="C133" s="27"/>
      <c r="D133" s="27"/>
      <c r="E133" s="27"/>
      <c r="F133" s="27"/>
    </row>
    <row r="134" spans="1:6" ht="12.75">
      <c r="A134" s="27"/>
      <c r="B134" s="27"/>
      <c r="C134" s="27"/>
      <c r="D134" s="27"/>
      <c r="E134" s="27"/>
      <c r="F134" s="27"/>
    </row>
  </sheetData>
  <sheetProtection sheet="1" objects="1" scenarios="1"/>
  <mergeCells count="9">
    <mergeCell ref="A71:C71"/>
    <mergeCell ref="A1:E1"/>
    <mergeCell ref="A72:C72"/>
    <mergeCell ref="A73:C73"/>
    <mergeCell ref="B9:F9"/>
    <mergeCell ref="B77:C77"/>
    <mergeCell ref="A74:C74"/>
    <mergeCell ref="A75:C75"/>
    <mergeCell ref="A76:C76"/>
  </mergeCells>
  <dataValidations count="1">
    <dataValidation type="list" allowBlank="1" showInputMessage="1" showErrorMessage="1" sqref="D72:D76">
      <formula1>$I$72:$I$73</formula1>
    </dataValidation>
  </dataValidations>
  <printOptions gridLines="1"/>
  <pageMargins left="0.75" right="0.75" top="1" bottom="1" header="0.5" footer="0.5"/>
  <pageSetup fitToHeight="2" horizontalDpi="600" verticalDpi="600" orientation="portrait" scale="90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J198"/>
  <sheetViews>
    <sheetView view="pageBreakPreview" zoomScale="75" zoomScaleNormal="8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46.421875" style="4" customWidth="1"/>
    <col min="2" max="2" width="19.28125" style="4" bestFit="1" customWidth="1"/>
    <col min="3" max="3" width="15.7109375" style="4" customWidth="1"/>
    <col min="4" max="4" width="15.8515625" style="4" customWidth="1"/>
    <col min="5" max="5" width="15.7109375" style="4" customWidth="1"/>
    <col min="6" max="6" width="15.57421875" style="4" customWidth="1"/>
    <col min="7" max="8" width="17.7109375" style="4" customWidth="1"/>
    <col min="9" max="9" width="16.57421875" style="5" customWidth="1"/>
    <col min="10" max="11" width="16.421875" style="5" customWidth="1"/>
    <col min="12" max="12" width="14.7109375" style="4" customWidth="1"/>
    <col min="13" max="13" width="14.7109375" style="65" customWidth="1"/>
    <col min="14" max="14" width="14.7109375" style="5" customWidth="1"/>
    <col min="15" max="15" width="38.57421875" style="5" customWidth="1"/>
    <col min="16" max="16" width="15.57421875" style="5" customWidth="1"/>
    <col min="17" max="17" width="13.28125" style="5" hidden="1" customWidth="1"/>
    <col min="18" max="18" width="14.7109375" style="26" hidden="1" customWidth="1"/>
    <col min="19" max="19" width="21.28125" style="4" hidden="1" customWidth="1"/>
    <col min="20" max="27" width="9.140625" style="4" hidden="1" customWidth="1"/>
    <col min="28" max="33" width="9.140625" style="36" hidden="1" customWidth="1"/>
    <col min="34" max="34" width="0" style="36" hidden="1" customWidth="1"/>
    <col min="35" max="61" width="9.140625" style="36" customWidth="1"/>
    <col min="62" max="16384" width="9.140625" style="4" customWidth="1"/>
  </cols>
  <sheetData>
    <row r="1" spans="1:6" ht="18.75" customHeight="1">
      <c r="A1" s="238" t="s">
        <v>51</v>
      </c>
      <c r="B1" s="238"/>
      <c r="C1" s="239"/>
      <c r="D1" s="239"/>
      <c r="E1" s="239"/>
      <c r="F1" s="239"/>
    </row>
    <row r="2" spans="1:6" ht="18">
      <c r="A2" s="102"/>
      <c r="B2" s="102"/>
      <c r="C2" s="73"/>
      <c r="D2" s="73"/>
      <c r="E2" s="73"/>
      <c r="F2" s="73"/>
    </row>
    <row r="3" spans="1:6" ht="18" customHeight="1">
      <c r="A3" s="7" t="s">
        <v>11</v>
      </c>
      <c r="B3" s="7"/>
      <c r="E3" s="254"/>
      <c r="F3" s="254"/>
    </row>
    <row r="4" spans="1:6" ht="18">
      <c r="A4" s="14"/>
      <c r="B4" s="14"/>
      <c r="E4" s="3"/>
      <c r="F4" s="3"/>
    </row>
    <row r="5" spans="1:6" ht="12.75">
      <c r="A5" s="9"/>
      <c r="B5" s="9"/>
      <c r="F5" s="9"/>
    </row>
    <row r="6" spans="1:8" ht="12.75">
      <c r="A6" s="15" t="s">
        <v>34</v>
      </c>
      <c r="B6" s="15"/>
      <c r="C6" s="16"/>
      <c r="D6" s="9"/>
      <c r="E6" s="16"/>
      <c r="F6" s="16"/>
      <c r="G6" s="16"/>
      <c r="H6" s="16"/>
    </row>
    <row r="7" spans="1:61" ht="12.75">
      <c r="A7" s="22" t="s">
        <v>26</v>
      </c>
      <c r="B7" s="23" t="s">
        <v>22</v>
      </c>
      <c r="C7" s="23" t="s">
        <v>23</v>
      </c>
      <c r="D7" s="23" t="s">
        <v>24</v>
      </c>
      <c r="E7" s="23" t="s">
        <v>25</v>
      </c>
      <c r="F7" s="106" t="s">
        <v>7</v>
      </c>
      <c r="G7" s="77"/>
      <c r="H7" s="5"/>
      <c r="K7" s="4"/>
      <c r="L7" s="65"/>
      <c r="M7" s="5"/>
      <c r="Q7" s="26"/>
      <c r="R7" s="4"/>
      <c r="AA7" s="36"/>
      <c r="BI7" s="4"/>
    </row>
    <row r="8" spans="1:61" ht="12.75" customHeight="1">
      <c r="A8" s="164" t="s">
        <v>95</v>
      </c>
      <c r="B8" s="201">
        <f>'Site Data'!B17</f>
        <v>0</v>
      </c>
      <c r="C8" s="201">
        <f>'Site Data'!C17</f>
        <v>0</v>
      </c>
      <c r="D8" s="201">
        <f>'Site Data'!D17</f>
        <v>0</v>
      </c>
      <c r="E8" s="201">
        <f>'Site Data'!E17</f>
        <v>0</v>
      </c>
      <c r="F8" s="18">
        <f>SUM(B8:E8)</f>
        <v>0</v>
      </c>
      <c r="G8" s="77"/>
      <c r="H8" s="5"/>
      <c r="K8" s="4"/>
      <c r="L8" s="65"/>
      <c r="M8" s="5"/>
      <c r="Q8" s="26"/>
      <c r="R8" s="4"/>
      <c r="AA8" s="36"/>
      <c r="BI8" s="4"/>
    </row>
    <row r="9" spans="1:61" ht="12.75">
      <c r="A9" s="69" t="s">
        <v>36</v>
      </c>
      <c r="B9" s="201">
        <f>'Site Data'!B18</f>
        <v>0</v>
      </c>
      <c r="C9" s="201">
        <f>'Site Data'!C18</f>
        <v>0</v>
      </c>
      <c r="D9" s="201">
        <f>'Site Data'!D18</f>
        <v>0</v>
      </c>
      <c r="E9" s="201">
        <f>'Site Data'!E18</f>
        <v>0</v>
      </c>
      <c r="F9" s="18">
        <f>SUM(B9:E9)</f>
        <v>0</v>
      </c>
      <c r="G9" s="62"/>
      <c r="H9" s="5"/>
      <c r="K9" s="4"/>
      <c r="L9" s="65"/>
      <c r="M9" s="5"/>
      <c r="Q9" s="26"/>
      <c r="R9" s="4"/>
      <c r="AA9" s="36"/>
      <c r="BI9" s="4"/>
    </row>
    <row r="10" spans="1:61" ht="12.75">
      <c r="A10" s="69" t="s">
        <v>14</v>
      </c>
      <c r="B10" s="201">
        <f>'Site Data'!B19</f>
        <v>0</v>
      </c>
      <c r="C10" s="201">
        <f>'Site Data'!C19</f>
        <v>0</v>
      </c>
      <c r="D10" s="201">
        <f>'Site Data'!D19</f>
        <v>0</v>
      </c>
      <c r="E10" s="201">
        <f>'Site Data'!E19</f>
        <v>0</v>
      </c>
      <c r="F10" s="18">
        <f>SUM(B10:E10)</f>
        <v>0</v>
      </c>
      <c r="G10" s="62"/>
      <c r="H10" s="5"/>
      <c r="K10" s="4"/>
      <c r="L10" s="65"/>
      <c r="M10" s="5"/>
      <c r="P10" s="67"/>
      <c r="Q10" s="26"/>
      <c r="R10" s="4"/>
      <c r="AA10" s="36"/>
      <c r="BI10" s="4"/>
    </row>
    <row r="11" spans="1:61" ht="12.75">
      <c r="A11" s="15"/>
      <c r="B11" s="16"/>
      <c r="C11" s="19"/>
      <c r="D11" s="16"/>
      <c r="E11" s="107" t="s">
        <v>8</v>
      </c>
      <c r="F11" s="18">
        <f>SUM(F8:F10)</f>
        <v>0</v>
      </c>
      <c r="G11" s="62"/>
      <c r="H11" s="5"/>
      <c r="K11" s="4"/>
      <c r="L11" s="65"/>
      <c r="M11" s="5"/>
      <c r="Q11" s="26"/>
      <c r="R11" s="4"/>
      <c r="AA11" s="36"/>
      <c r="BI11" s="4"/>
    </row>
    <row r="12" spans="1:61" ht="12.75">
      <c r="A12" s="15"/>
      <c r="B12" s="16"/>
      <c r="C12" s="19"/>
      <c r="D12" s="16"/>
      <c r="E12" s="107"/>
      <c r="F12" s="62"/>
      <c r="G12" s="62"/>
      <c r="H12" s="5"/>
      <c r="K12" s="4"/>
      <c r="L12" s="65"/>
      <c r="M12" s="5"/>
      <c r="Q12" s="26"/>
      <c r="R12" s="4"/>
      <c r="AA12" s="36"/>
      <c r="BI12" s="4"/>
    </row>
    <row r="13" spans="1:61" ht="12.75">
      <c r="A13" s="118" t="s">
        <v>98</v>
      </c>
      <c r="B13" s="119">
        <f>IF(F9&gt;0,SUMPRODUCT(B9:E9,'Site Data'!B54:E54)/F9,0)</f>
        <v>0</v>
      </c>
      <c r="C13" s="19"/>
      <c r="E13" s="107"/>
      <c r="F13" s="62"/>
      <c r="G13" s="62"/>
      <c r="H13" s="5"/>
      <c r="K13" s="4"/>
      <c r="L13" s="65"/>
      <c r="M13" s="5"/>
      <c r="Q13" s="26"/>
      <c r="R13" s="4"/>
      <c r="AA13" s="36"/>
      <c r="BI13" s="4"/>
    </row>
    <row r="14" spans="1:61" ht="12.75">
      <c r="A14" s="118" t="s">
        <v>42</v>
      </c>
      <c r="B14" s="121">
        <v>0.95</v>
      </c>
      <c r="C14" s="19"/>
      <c r="D14" s="16"/>
      <c r="E14" s="108"/>
      <c r="F14" s="62"/>
      <c r="G14" s="62"/>
      <c r="H14" s="5"/>
      <c r="K14" s="4"/>
      <c r="L14" s="65"/>
      <c r="M14" s="5"/>
      <c r="Q14" s="26"/>
      <c r="R14" s="4"/>
      <c r="AA14" s="36"/>
      <c r="BI14" s="4"/>
    </row>
    <row r="15" spans="1:60" s="16" customFormat="1" ht="18">
      <c r="A15" s="98"/>
      <c r="D15" s="255" t="s">
        <v>147</v>
      </c>
      <c r="E15" s="255"/>
      <c r="F15" s="78">
        <f>1/12*(B13*F9+B14*F10)*43560</f>
        <v>0</v>
      </c>
      <c r="G15" s="20"/>
      <c r="H15" s="72"/>
      <c r="I15" s="72"/>
      <c r="J15" s="72"/>
      <c r="L15" s="72"/>
      <c r="M15" s="73"/>
      <c r="N15" s="71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</row>
    <row r="16" spans="1:61" s="16" customFormat="1" ht="18">
      <c r="A16" s="14" t="s">
        <v>56</v>
      </c>
      <c r="B16" s="14"/>
      <c r="I16" s="72"/>
      <c r="J16" s="72"/>
      <c r="K16" s="72"/>
      <c r="M16" s="74"/>
      <c r="N16" s="72"/>
      <c r="O16" s="72"/>
      <c r="P16" s="72"/>
      <c r="Q16" s="72"/>
      <c r="R16" s="73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</row>
    <row r="17" spans="1:61" s="16" customFormat="1" ht="63.75" customHeight="1">
      <c r="A17" s="106" t="s">
        <v>57</v>
      </c>
      <c r="B17" s="106" t="s">
        <v>151</v>
      </c>
      <c r="C17" s="104" t="s">
        <v>28</v>
      </c>
      <c r="D17" s="104" t="s">
        <v>74</v>
      </c>
      <c r="E17" s="104" t="s">
        <v>68</v>
      </c>
      <c r="F17" s="252" t="s">
        <v>9</v>
      </c>
      <c r="G17" s="253"/>
      <c r="H17" s="160" t="s">
        <v>94</v>
      </c>
      <c r="I17" s="151" t="s">
        <v>69</v>
      </c>
      <c r="J17" s="66" t="s">
        <v>70</v>
      </c>
      <c r="K17" s="66" t="s">
        <v>92</v>
      </c>
      <c r="L17" s="105" t="s">
        <v>29</v>
      </c>
      <c r="M17" s="105" t="s">
        <v>71</v>
      </c>
      <c r="N17" s="142" t="s">
        <v>72</v>
      </c>
      <c r="O17" s="105" t="s">
        <v>73</v>
      </c>
      <c r="P17"/>
      <c r="Q17" s="32"/>
      <c r="R17" s="4"/>
      <c r="S17" s="146" t="s">
        <v>76</v>
      </c>
      <c r="T17" s="146" t="s">
        <v>77</v>
      </c>
      <c r="U17" s="146" t="s">
        <v>78</v>
      </c>
      <c r="V17" s="146" t="s">
        <v>79</v>
      </c>
      <c r="W17" s="202" t="s">
        <v>119</v>
      </c>
      <c r="X17" s="146" t="s">
        <v>80</v>
      </c>
      <c r="Y17" s="146" t="s">
        <v>81</v>
      </c>
      <c r="Z17" s="146" t="s">
        <v>82</v>
      </c>
      <c r="AA17" s="146" t="s">
        <v>141</v>
      </c>
      <c r="AB17" s="146" t="s">
        <v>142</v>
      </c>
      <c r="AC17" s="146" t="s">
        <v>83</v>
      </c>
      <c r="AD17" s="146" t="s">
        <v>84</v>
      </c>
      <c r="AE17" s="149" t="s">
        <v>85</v>
      </c>
      <c r="AF17" s="149" t="s">
        <v>86</v>
      </c>
      <c r="AG17" s="148" t="s">
        <v>87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</row>
    <row r="18" spans="1:61" s="16" customFormat="1" ht="12.75" customHeight="1">
      <c r="A18" s="130" t="s">
        <v>58</v>
      </c>
      <c r="B18" s="228"/>
      <c r="C18" s="131"/>
      <c r="D18" s="131"/>
      <c r="E18" s="131"/>
      <c r="F18" s="131"/>
      <c r="G18" s="131"/>
      <c r="H18" s="131"/>
      <c r="I18" s="132"/>
      <c r="J18" s="132"/>
      <c r="K18" s="155"/>
      <c r="L18" s="133"/>
      <c r="M18" s="133"/>
      <c r="N18" s="143"/>
      <c r="O18" s="134"/>
      <c r="P18">
        <f>IF(C19=0,"",1)</f>
      </c>
      <c r="Q18" s="32"/>
      <c r="R18" s="4"/>
      <c r="S18" s="88"/>
      <c r="T18" s="88"/>
      <c r="U18" s="88"/>
      <c r="V18" s="88"/>
      <c r="W18" s="88"/>
      <c r="X18" s="89"/>
      <c r="Y18" s="87"/>
      <c r="Z18" s="87"/>
      <c r="AA18" s="87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</row>
    <row r="19" spans="1:61" s="16" customFormat="1" ht="25.5" customHeight="1">
      <c r="A19" s="96" t="s">
        <v>59</v>
      </c>
      <c r="B19" s="231"/>
      <c r="C19" s="1"/>
      <c r="D19" s="18" t="s">
        <v>30</v>
      </c>
      <c r="E19" s="78">
        <f>1/12*0.95*C19*43560</f>
        <v>0</v>
      </c>
      <c r="F19" s="247" t="s">
        <v>75</v>
      </c>
      <c r="G19" s="248"/>
      <c r="H19" s="221">
        <v>1</v>
      </c>
      <c r="I19" s="76" t="s">
        <v>30</v>
      </c>
      <c r="J19" s="37">
        <f>E19</f>
        <v>0</v>
      </c>
      <c r="K19" s="156" t="s">
        <v>30</v>
      </c>
      <c r="L19" s="111"/>
      <c r="M19" s="79">
        <f>IF(L19*H19&lt;=J19,L19*H19,J19)</f>
        <v>0</v>
      </c>
      <c r="N19" s="154">
        <f aca="true" t="shared" si="0" ref="N19:N43">J19-M19</f>
        <v>0</v>
      </c>
      <c r="O19" s="80"/>
      <c r="P19">
        <f>IF(C19=0,"",C19)</f>
      </c>
      <c r="Q19" s="27"/>
      <c r="R19" s="4"/>
      <c r="S19" s="4">
        <f>IF($O19=S$17,$N19,0)</f>
        <v>0</v>
      </c>
      <c r="T19" s="4">
        <f aca="true" t="shared" si="1" ref="T19:AF33">IF($O19=T$17,$N19,0)</f>
        <v>0</v>
      </c>
      <c r="U19" s="4">
        <f t="shared" si="1"/>
        <v>0</v>
      </c>
      <c r="V19" s="4">
        <f t="shared" si="1"/>
        <v>0</v>
      </c>
      <c r="W19" s="4">
        <f t="shared" si="1"/>
        <v>0</v>
      </c>
      <c r="X19" s="4">
        <f t="shared" si="1"/>
        <v>0</v>
      </c>
      <c r="Y19" s="4">
        <f t="shared" si="1"/>
        <v>0</v>
      </c>
      <c r="Z19" s="4">
        <f t="shared" si="1"/>
        <v>0</v>
      </c>
      <c r="AA19" s="4">
        <f t="shared" si="1"/>
        <v>0</v>
      </c>
      <c r="AB19" s="4">
        <f t="shared" si="1"/>
        <v>0</v>
      </c>
      <c r="AC19" s="4">
        <f t="shared" si="1"/>
        <v>0</v>
      </c>
      <c r="AD19" s="4">
        <f t="shared" si="1"/>
        <v>0</v>
      </c>
      <c r="AE19" s="4">
        <f t="shared" si="1"/>
        <v>0</v>
      </c>
      <c r="AF19" s="4">
        <f t="shared" si="1"/>
        <v>0</v>
      </c>
      <c r="AG19" s="4">
        <f>IF($O19=AG$17,$N19,0)</f>
        <v>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</row>
    <row r="20" spans="1:61" s="16" customFormat="1" ht="12.75">
      <c r="A20" s="130" t="s">
        <v>60</v>
      </c>
      <c r="B20" s="228"/>
      <c r="C20" s="131"/>
      <c r="D20" s="131"/>
      <c r="E20" s="131"/>
      <c r="F20" s="131"/>
      <c r="G20" s="131"/>
      <c r="H20" s="162"/>
      <c r="I20" s="132"/>
      <c r="J20" s="132"/>
      <c r="K20" s="155"/>
      <c r="L20" s="133"/>
      <c r="M20" s="133"/>
      <c r="N20" s="143"/>
      <c r="O20" s="134"/>
      <c r="P20">
        <f>IF(SUM(C21:C25)+D23=0,"",1)</f>
      </c>
      <c r="Q20" s="27"/>
      <c r="R20" s="4"/>
      <c r="S20" s="4"/>
      <c r="T20" s="4"/>
      <c r="U20" s="4"/>
      <c r="V20" s="4"/>
      <c r="W20" s="4"/>
      <c r="X20" s="4"/>
      <c r="Y20" s="4"/>
      <c r="Z20" s="4"/>
      <c r="AA20" s="4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</row>
    <row r="21" spans="1:33" ht="38.25" customHeight="1">
      <c r="A21" s="146" t="s">
        <v>76</v>
      </c>
      <c r="B21" s="232"/>
      <c r="C21" s="1"/>
      <c r="D21" s="103" t="s">
        <v>30</v>
      </c>
      <c r="E21" s="78">
        <f aca="true" t="shared" si="2" ref="E21:E27">1/12*0.95*C21*43560</f>
        <v>0</v>
      </c>
      <c r="F21" s="247" t="s">
        <v>99</v>
      </c>
      <c r="G21" s="248"/>
      <c r="H21" s="221" t="s">
        <v>30</v>
      </c>
      <c r="I21" s="37">
        <f>S45</f>
        <v>0</v>
      </c>
      <c r="J21" s="37">
        <f>E21+I21</f>
        <v>0</v>
      </c>
      <c r="K21" s="215"/>
      <c r="L21" s="76" t="s">
        <v>30</v>
      </c>
      <c r="M21" s="79">
        <f>IF(K21*0.04&lt;=J21,K21*0.04,J21)</f>
        <v>0</v>
      </c>
      <c r="N21" s="154">
        <f t="shared" si="0"/>
        <v>0</v>
      </c>
      <c r="O21" s="80"/>
      <c r="P21">
        <f>IF(C21=0,"",C21)</f>
      </c>
      <c r="Q21" s="27"/>
      <c r="R21" s="4"/>
      <c r="S21" s="4">
        <f>IF($O21=S$17,$N21,0)</f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 t="shared" si="1"/>
        <v>0</v>
      </c>
      <c r="AB21" s="4">
        <f t="shared" si="1"/>
        <v>0</v>
      </c>
      <c r="AC21" s="4">
        <f t="shared" si="1"/>
        <v>0</v>
      </c>
      <c r="AD21" s="4">
        <f t="shared" si="1"/>
        <v>0</v>
      </c>
      <c r="AE21" s="4">
        <f t="shared" si="1"/>
        <v>0</v>
      </c>
      <c r="AF21" s="4">
        <f t="shared" si="1"/>
        <v>0</v>
      </c>
      <c r="AG21" s="4">
        <f>IF($O21=AG$17,$N21,0)</f>
        <v>0</v>
      </c>
    </row>
    <row r="22" spans="1:33" ht="38.25" customHeight="1">
      <c r="A22" s="146" t="s">
        <v>77</v>
      </c>
      <c r="B22" s="232"/>
      <c r="C22" s="1"/>
      <c r="D22" s="103" t="s">
        <v>30</v>
      </c>
      <c r="E22" s="78">
        <f t="shared" si="2"/>
        <v>0</v>
      </c>
      <c r="F22" s="247" t="s">
        <v>100</v>
      </c>
      <c r="G22" s="248"/>
      <c r="H22" s="221" t="s">
        <v>30</v>
      </c>
      <c r="I22" s="37">
        <f>T45</f>
        <v>0</v>
      </c>
      <c r="J22" s="37">
        <f>E22+I22</f>
        <v>0</v>
      </c>
      <c r="K22" s="215"/>
      <c r="L22" s="76" t="s">
        <v>30</v>
      </c>
      <c r="M22" s="79">
        <f>IF(K22*0.02&lt;=J22,K22*0.02,J22)</f>
        <v>0</v>
      </c>
      <c r="N22" s="154">
        <f t="shared" si="0"/>
        <v>0</v>
      </c>
      <c r="O22" s="80"/>
      <c r="P22">
        <f>IF(C22=0,"",C22)</f>
      </c>
      <c r="Q22" s="27"/>
      <c r="R22" s="4"/>
      <c r="S22" s="4">
        <f>IF($O22=S$17,$N22,0)</f>
        <v>0</v>
      </c>
      <c r="T22" s="4">
        <f t="shared" si="1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si="1"/>
        <v>0</v>
      </c>
      <c r="AB22" s="4">
        <f t="shared" si="1"/>
        <v>0</v>
      </c>
      <c r="AC22" s="4">
        <f t="shared" si="1"/>
        <v>0</v>
      </c>
      <c r="AD22" s="4">
        <f t="shared" si="1"/>
        <v>0</v>
      </c>
      <c r="AE22" s="4">
        <f t="shared" si="1"/>
        <v>0</v>
      </c>
      <c r="AF22" s="4">
        <f t="shared" si="1"/>
        <v>0</v>
      </c>
      <c r="AG22" s="4">
        <f>IF($O22=AG$17,$N22,0)</f>
        <v>0</v>
      </c>
    </row>
    <row r="23" spans="1:33" ht="25.5" customHeight="1">
      <c r="A23" s="146" t="s">
        <v>110</v>
      </c>
      <c r="B23" s="232"/>
      <c r="C23" s="1"/>
      <c r="D23" s="225"/>
      <c r="E23" s="78">
        <f>1/12*(0.95*C23+$B$13*D23)*43560</f>
        <v>0</v>
      </c>
      <c r="F23" s="247" t="s">
        <v>75</v>
      </c>
      <c r="G23" s="248"/>
      <c r="H23" s="221">
        <v>1</v>
      </c>
      <c r="I23" s="37">
        <f>U45</f>
        <v>0</v>
      </c>
      <c r="J23" s="37">
        <f>E23+I23</f>
        <v>0</v>
      </c>
      <c r="K23" s="156" t="s">
        <v>30</v>
      </c>
      <c r="L23" s="111"/>
      <c r="M23" s="79">
        <f>IF(L23*H23&lt;=J23,L23*H23,J23)</f>
        <v>0</v>
      </c>
      <c r="N23" s="154">
        <f t="shared" si="0"/>
        <v>0</v>
      </c>
      <c r="O23" s="80"/>
      <c r="P23">
        <f>IF(C23+D23=0,"",C23+D23)</f>
      </c>
      <c r="Q23" s="27"/>
      <c r="R23" s="4"/>
      <c r="S23" s="4">
        <f>IF($O23=S$17,$N23,0)</f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>IF($O23=AG$17,$N23,0)</f>
        <v>0</v>
      </c>
    </row>
    <row r="24" spans="1:33" ht="25.5" customHeight="1">
      <c r="A24" s="146" t="s">
        <v>79</v>
      </c>
      <c r="B24" s="232"/>
      <c r="C24" s="1"/>
      <c r="D24" s="103" t="s">
        <v>30</v>
      </c>
      <c r="E24" s="78">
        <f t="shared" si="2"/>
        <v>0</v>
      </c>
      <c r="F24" s="247" t="s">
        <v>93</v>
      </c>
      <c r="G24" s="248"/>
      <c r="H24" s="216"/>
      <c r="I24" s="37">
        <f>V45</f>
        <v>0</v>
      </c>
      <c r="J24" s="37">
        <f>E24+I24</f>
        <v>0</v>
      </c>
      <c r="K24" s="156" t="s">
        <v>30</v>
      </c>
      <c r="L24" s="111"/>
      <c r="M24" s="79">
        <f>IF(L24*H24&lt;=J24,L24*H24,J24)</f>
        <v>0</v>
      </c>
      <c r="N24" s="154">
        <f t="shared" si="0"/>
        <v>0</v>
      </c>
      <c r="O24" s="80"/>
      <c r="P24">
        <f>IF(C24=0,"",C24)</f>
      </c>
      <c r="Q24" s="27"/>
      <c r="R24" s="4"/>
      <c r="S24" s="4">
        <f>IF($O24=S$17,$N24,0)</f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1"/>
        <v>0</v>
      </c>
      <c r="AB24" s="4">
        <f t="shared" si="1"/>
        <v>0</v>
      </c>
      <c r="AC24" s="4">
        <f t="shared" si="1"/>
        <v>0</v>
      </c>
      <c r="AD24" s="4">
        <f t="shared" si="1"/>
        <v>0</v>
      </c>
      <c r="AE24" s="4">
        <f t="shared" si="1"/>
        <v>0</v>
      </c>
      <c r="AF24" s="4">
        <f t="shared" si="1"/>
        <v>0</v>
      </c>
      <c r="AG24" s="4">
        <f>IF($O24=AG$17,$N24,0)</f>
        <v>0</v>
      </c>
    </row>
    <row r="25" spans="1:33" ht="25.5" customHeight="1">
      <c r="A25" s="202" t="s">
        <v>119</v>
      </c>
      <c r="B25" s="233"/>
      <c r="C25" s="1"/>
      <c r="D25" s="103" t="s">
        <v>30</v>
      </c>
      <c r="E25" s="78">
        <f t="shared" si="2"/>
        <v>0</v>
      </c>
      <c r="F25" s="247" t="s">
        <v>75</v>
      </c>
      <c r="G25" s="248"/>
      <c r="H25" s="221">
        <v>1</v>
      </c>
      <c r="I25" s="37">
        <f>W45</f>
        <v>0</v>
      </c>
      <c r="J25" s="37">
        <f>E25+I25</f>
        <v>0</v>
      </c>
      <c r="K25" s="156" t="s">
        <v>30</v>
      </c>
      <c r="L25" s="111"/>
      <c r="M25" s="79">
        <f>IF(L25*H25&lt;=J25,L25*H25,J25)</f>
        <v>0</v>
      </c>
      <c r="N25" s="154">
        <f>J25-M25</f>
        <v>0</v>
      </c>
      <c r="O25" s="80"/>
      <c r="P25">
        <f>IF(C25=0,"",C25)</f>
      </c>
      <c r="Q25" s="27"/>
      <c r="R25" s="4"/>
      <c r="S25" s="4">
        <f>IF($O25=S$17,$N25,0)</f>
        <v>0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1"/>
        <v>0</v>
      </c>
      <c r="AB25" s="4">
        <f t="shared" si="1"/>
        <v>0</v>
      </c>
      <c r="AC25" s="4">
        <f t="shared" si="1"/>
        <v>0</v>
      </c>
      <c r="AD25" s="4">
        <f t="shared" si="1"/>
        <v>0</v>
      </c>
      <c r="AE25" s="4">
        <f t="shared" si="1"/>
        <v>0</v>
      </c>
      <c r="AF25" s="4">
        <f t="shared" si="1"/>
        <v>0</v>
      </c>
      <c r="AG25" s="4">
        <f>IF($O25=AG$17,$N25,0)</f>
        <v>0</v>
      </c>
    </row>
    <row r="26" spans="1:61" s="16" customFormat="1" ht="12.75">
      <c r="A26" s="130" t="s">
        <v>61</v>
      </c>
      <c r="B26" s="228"/>
      <c r="C26" s="131"/>
      <c r="D26" s="131"/>
      <c r="E26" s="131"/>
      <c r="F26" s="131"/>
      <c r="G26" s="131"/>
      <c r="H26" s="162"/>
      <c r="I26" s="132"/>
      <c r="J26" s="132"/>
      <c r="K26" s="155"/>
      <c r="L26" s="133"/>
      <c r="M26" s="133"/>
      <c r="N26" s="143"/>
      <c r="O26" s="134"/>
      <c r="P26">
        <f>IF(C27=0,"",1)</f>
      </c>
      <c r="Q26" s="27"/>
      <c r="R26" s="4"/>
      <c r="S26" s="4"/>
      <c r="T26" s="4"/>
      <c r="U26" s="4"/>
      <c r="V26" s="4"/>
      <c r="W26" s="4"/>
      <c r="X26" s="4"/>
      <c r="Y26" s="4"/>
      <c r="Z26" s="4"/>
      <c r="AA26" s="4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</row>
    <row r="27" spans="1:33" ht="25.5" customHeight="1">
      <c r="A27" s="147" t="s">
        <v>140</v>
      </c>
      <c r="B27" s="234"/>
      <c r="C27" s="1"/>
      <c r="D27" s="103" t="s">
        <v>30</v>
      </c>
      <c r="E27" s="78">
        <f t="shared" si="2"/>
        <v>0</v>
      </c>
      <c r="F27" s="247" t="s">
        <v>75</v>
      </c>
      <c r="G27" s="248"/>
      <c r="H27" s="221">
        <v>1</v>
      </c>
      <c r="I27" s="76" t="s">
        <v>30</v>
      </c>
      <c r="J27" s="37">
        <f>E27</f>
        <v>0</v>
      </c>
      <c r="K27" s="156" t="s">
        <v>30</v>
      </c>
      <c r="L27" s="111"/>
      <c r="M27" s="79">
        <f>IF(L27*H27&lt;=J27,L27*H27,J27)</f>
        <v>0</v>
      </c>
      <c r="N27" s="154">
        <f t="shared" si="0"/>
        <v>0</v>
      </c>
      <c r="O27" s="80"/>
      <c r="P27">
        <f>IF(C27=0,"",C27)</f>
      </c>
      <c r="Q27" s="27"/>
      <c r="R27" s="4"/>
      <c r="S27" s="4">
        <f>IF($O27=S$17,$N27,0)</f>
        <v>0</v>
      </c>
      <c r="T27" s="4">
        <f t="shared" si="1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1"/>
        <v>0</v>
      </c>
      <c r="AB27" s="4">
        <f t="shared" si="1"/>
        <v>0</v>
      </c>
      <c r="AC27" s="4">
        <f t="shared" si="1"/>
        <v>0</v>
      </c>
      <c r="AD27" s="4">
        <f t="shared" si="1"/>
        <v>0</v>
      </c>
      <c r="AE27" s="4">
        <f t="shared" si="1"/>
        <v>0</v>
      </c>
      <c r="AF27" s="4">
        <f t="shared" si="1"/>
        <v>0</v>
      </c>
      <c r="AG27" s="4">
        <f>IF($O27=AG$17,$N27,0)</f>
        <v>0</v>
      </c>
    </row>
    <row r="28" spans="1:18" ht="12.75">
      <c r="A28" s="129" t="s">
        <v>62</v>
      </c>
      <c r="B28" s="129"/>
      <c r="C28" s="218"/>
      <c r="D28" s="135"/>
      <c r="E28" s="136"/>
      <c r="F28" s="137"/>
      <c r="G28" s="137"/>
      <c r="H28" s="163"/>
      <c r="I28" s="138"/>
      <c r="J28" s="139"/>
      <c r="K28" s="139"/>
      <c r="L28" s="138"/>
      <c r="M28" s="136"/>
      <c r="N28" s="139"/>
      <c r="O28" s="219"/>
      <c r="P28">
        <f>IF(SUM(C29:D31)=0,"",1)</f>
      </c>
      <c r="Q28" s="27"/>
      <c r="R28" s="4"/>
    </row>
    <row r="29" spans="1:33" ht="25.5" customHeight="1">
      <c r="A29" s="147" t="s">
        <v>138</v>
      </c>
      <c r="B29" s="234"/>
      <c r="C29" s="1"/>
      <c r="D29" s="217"/>
      <c r="E29" s="78">
        <f>1/12*(0.95*C29+$B$13*D29)*43560</f>
        <v>0</v>
      </c>
      <c r="F29" s="247" t="s">
        <v>91</v>
      </c>
      <c r="G29" s="248"/>
      <c r="H29" s="221">
        <v>0.2</v>
      </c>
      <c r="I29" s="37">
        <f>X45</f>
        <v>0</v>
      </c>
      <c r="J29" s="37">
        <f aca="true" t="shared" si="3" ref="J29:J43">E29+I29</f>
        <v>0</v>
      </c>
      <c r="K29" s="156" t="s">
        <v>30</v>
      </c>
      <c r="L29" s="76" t="s">
        <v>30</v>
      </c>
      <c r="M29" s="79">
        <f>J29*H29</f>
        <v>0</v>
      </c>
      <c r="N29" s="154">
        <f t="shared" si="0"/>
        <v>0</v>
      </c>
      <c r="O29" s="80"/>
      <c r="P29">
        <f>IF(C29+D29=0,"",C29+D29)</f>
      </c>
      <c r="Q29" s="27"/>
      <c r="R29" s="4"/>
      <c r="S29" s="4">
        <f>IF($O29=S$17,$N29,0)</f>
        <v>0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1"/>
        <v>0</v>
      </c>
      <c r="AB29" s="4">
        <f t="shared" si="1"/>
        <v>0</v>
      </c>
      <c r="AC29" s="4">
        <f t="shared" si="1"/>
        <v>0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>IF($O29=AG$17,$N29,0)</f>
        <v>0</v>
      </c>
    </row>
    <row r="30" spans="1:33" ht="25.5" customHeight="1">
      <c r="A30" s="147" t="s">
        <v>139</v>
      </c>
      <c r="B30" s="234"/>
      <c r="C30" s="1"/>
      <c r="D30" s="217"/>
      <c r="E30" s="78">
        <f>1/12*(0.95*C30+$B$13*D30)*43560</f>
        <v>0</v>
      </c>
      <c r="F30" s="247" t="s">
        <v>90</v>
      </c>
      <c r="G30" s="248"/>
      <c r="H30" s="221">
        <v>0.1</v>
      </c>
      <c r="I30" s="37">
        <f>Y45</f>
        <v>0</v>
      </c>
      <c r="J30" s="37">
        <f t="shared" si="3"/>
        <v>0</v>
      </c>
      <c r="K30" s="156" t="s">
        <v>30</v>
      </c>
      <c r="L30" s="76" t="s">
        <v>30</v>
      </c>
      <c r="M30" s="79">
        <f>J30*H30</f>
        <v>0</v>
      </c>
      <c r="N30" s="154">
        <f t="shared" si="0"/>
        <v>0</v>
      </c>
      <c r="O30" s="80"/>
      <c r="P30">
        <f>IF(C30+D30=0,"",C30+D30)</f>
      </c>
      <c r="Q30" s="27"/>
      <c r="R30" s="4"/>
      <c r="S30" s="4">
        <f>IF($O30=S$17,$N30,0)</f>
        <v>0</v>
      </c>
      <c r="T30" s="4">
        <f t="shared" si="1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1"/>
        <v>0</v>
      </c>
      <c r="AB30" s="4">
        <f t="shared" si="1"/>
        <v>0</v>
      </c>
      <c r="AC30" s="4">
        <f t="shared" si="1"/>
        <v>0</v>
      </c>
      <c r="AD30" s="4">
        <f t="shared" si="1"/>
        <v>0</v>
      </c>
      <c r="AE30" s="4">
        <f t="shared" si="1"/>
        <v>0</v>
      </c>
      <c r="AF30" s="4">
        <f t="shared" si="1"/>
        <v>0</v>
      </c>
      <c r="AG30" s="4">
        <f>IF($O30=AG$17,$N30,0)</f>
        <v>0</v>
      </c>
    </row>
    <row r="31" spans="1:33" ht="25.5" customHeight="1">
      <c r="A31" s="147" t="s">
        <v>82</v>
      </c>
      <c r="B31" s="234"/>
      <c r="C31" s="1"/>
      <c r="D31" s="217"/>
      <c r="E31" s="78">
        <f>1/12*(0.95*C31+$B$13*D31)*43560</f>
        <v>0</v>
      </c>
      <c r="F31" s="247" t="s">
        <v>89</v>
      </c>
      <c r="G31" s="248"/>
      <c r="H31" s="221">
        <v>0.3</v>
      </c>
      <c r="I31" s="37">
        <f>Z45</f>
        <v>0</v>
      </c>
      <c r="J31" s="37">
        <f t="shared" si="3"/>
        <v>0</v>
      </c>
      <c r="K31" s="156" t="s">
        <v>30</v>
      </c>
      <c r="L31" s="76" t="s">
        <v>30</v>
      </c>
      <c r="M31" s="79">
        <f>J31*H31</f>
        <v>0</v>
      </c>
      <c r="N31" s="154">
        <f t="shared" si="0"/>
        <v>0</v>
      </c>
      <c r="O31" s="80"/>
      <c r="P31">
        <f>IF(C31+D31=0,"",C31+D31)</f>
      </c>
      <c r="Q31" s="27"/>
      <c r="R31" s="4"/>
      <c r="S31" s="4">
        <f>IF($O31=S$17,$N31,0)</f>
        <v>0</v>
      </c>
      <c r="T31" s="4">
        <f t="shared" si="1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1"/>
        <v>0</v>
      </c>
      <c r="AB31" s="4">
        <f t="shared" si="1"/>
        <v>0</v>
      </c>
      <c r="AC31" s="4">
        <f t="shared" si="1"/>
        <v>0</v>
      </c>
      <c r="AD31" s="4">
        <f t="shared" si="1"/>
        <v>0</v>
      </c>
      <c r="AE31" s="4">
        <f t="shared" si="1"/>
        <v>0</v>
      </c>
      <c r="AF31" s="4">
        <f t="shared" si="1"/>
        <v>0</v>
      </c>
      <c r="AG31" s="4">
        <f>IF($O31=AG$17,$N31,0)</f>
        <v>0</v>
      </c>
    </row>
    <row r="32" spans="1:18" ht="12.75">
      <c r="A32" s="140" t="s">
        <v>63</v>
      </c>
      <c r="B32" s="129"/>
      <c r="C32" s="218"/>
      <c r="D32" s="135"/>
      <c r="E32" s="136"/>
      <c r="F32" s="137"/>
      <c r="G32" s="137"/>
      <c r="H32" s="163"/>
      <c r="I32" s="138"/>
      <c r="J32" s="139"/>
      <c r="K32" s="139"/>
      <c r="L32" s="138"/>
      <c r="M32" s="136"/>
      <c r="N32" s="139"/>
      <c r="O32" s="219"/>
      <c r="P32">
        <f>IF(C33+D33=0,"",1)</f>
      </c>
      <c r="Q32" s="27"/>
      <c r="R32" s="4"/>
    </row>
    <row r="33" spans="1:33" ht="25.5" customHeight="1">
      <c r="A33" s="147" t="s">
        <v>141</v>
      </c>
      <c r="B33" s="234"/>
      <c r="C33" s="1"/>
      <c r="D33" s="217"/>
      <c r="E33" s="78">
        <f>1/12*(0.95*C33+$B$13*D33)*43560</f>
        <v>0</v>
      </c>
      <c r="F33" s="247" t="s">
        <v>75</v>
      </c>
      <c r="G33" s="248"/>
      <c r="H33" s="221">
        <v>1</v>
      </c>
      <c r="I33" s="37">
        <f>AA45</f>
        <v>0</v>
      </c>
      <c r="J33" s="37">
        <f t="shared" si="3"/>
        <v>0</v>
      </c>
      <c r="K33" s="156" t="s">
        <v>30</v>
      </c>
      <c r="L33" s="111"/>
      <c r="M33" s="79">
        <f>IF(L33*H33&lt;=J33,L33*H33,J33)</f>
        <v>0</v>
      </c>
      <c r="N33" s="154">
        <f t="shared" si="0"/>
        <v>0</v>
      </c>
      <c r="O33" s="80"/>
      <c r="P33">
        <f>IF(C33+D33=0,"",C33+D33)</f>
      </c>
      <c r="Q33" s="27"/>
      <c r="R33" s="4"/>
      <c r="S33" s="4">
        <f>IF($O33=S$17,$N33,0)</f>
        <v>0</v>
      </c>
      <c r="T33" s="4">
        <f t="shared" si="1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1"/>
        <v>0</v>
      </c>
      <c r="AB33" s="4">
        <f t="shared" si="1"/>
        <v>0</v>
      </c>
      <c r="AC33" s="4">
        <f t="shared" si="1"/>
        <v>0</v>
      </c>
      <c r="AD33" s="4">
        <f t="shared" si="1"/>
        <v>0</v>
      </c>
      <c r="AE33" s="4">
        <f t="shared" si="1"/>
        <v>0</v>
      </c>
      <c r="AF33" s="4">
        <f t="shared" si="1"/>
        <v>0</v>
      </c>
      <c r="AG33" s="4">
        <f>IF($O33=AG$17,$N33,0)</f>
        <v>0</v>
      </c>
    </row>
    <row r="34" spans="1:18" ht="12.75">
      <c r="A34" s="140" t="s">
        <v>64</v>
      </c>
      <c r="B34" s="129"/>
      <c r="C34" s="218"/>
      <c r="D34" s="135"/>
      <c r="E34" s="136"/>
      <c r="F34" s="137"/>
      <c r="G34" s="137"/>
      <c r="H34" s="163"/>
      <c r="I34" s="138"/>
      <c r="J34" s="139"/>
      <c r="K34" s="139"/>
      <c r="L34" s="138"/>
      <c r="M34" s="136"/>
      <c r="N34" s="139"/>
      <c r="O34" s="219"/>
      <c r="P34">
        <f>IF(C35+D35=0,"",1)</f>
      </c>
      <c r="Q34" s="27"/>
      <c r="R34" s="4"/>
    </row>
    <row r="35" spans="1:33" ht="25.5" customHeight="1">
      <c r="A35" s="147" t="s">
        <v>142</v>
      </c>
      <c r="B35" s="234"/>
      <c r="C35" s="1"/>
      <c r="D35" s="217"/>
      <c r="E35" s="78">
        <f>1/12*(0.95*C35+$B$13*D35)*43560</f>
        <v>0</v>
      </c>
      <c r="F35" s="247" t="s">
        <v>75</v>
      </c>
      <c r="G35" s="248"/>
      <c r="H35" s="221">
        <v>1</v>
      </c>
      <c r="I35" s="37">
        <f>AB45</f>
        <v>0</v>
      </c>
      <c r="J35" s="37">
        <f t="shared" si="3"/>
        <v>0</v>
      </c>
      <c r="K35" s="156" t="s">
        <v>30</v>
      </c>
      <c r="L35" s="111"/>
      <c r="M35" s="79">
        <f>IF(L35*H35&lt;=J35,L35*H35,J35)</f>
        <v>0</v>
      </c>
      <c r="N35" s="154">
        <f t="shared" si="0"/>
        <v>0</v>
      </c>
      <c r="O35" s="80"/>
      <c r="P35">
        <f>IF(C35+D35=0,"",C35+D35)</f>
      </c>
      <c r="Q35" s="27"/>
      <c r="R35" s="4"/>
      <c r="S35" s="4">
        <f aca="true" t="shared" si="4" ref="S35:AE35">IF($O35=S$17,$N35,0)</f>
        <v>0</v>
      </c>
      <c r="T35" s="4">
        <f t="shared" si="4"/>
        <v>0</v>
      </c>
      <c r="U35" s="4">
        <f t="shared" si="4"/>
        <v>0</v>
      </c>
      <c r="V35" s="4">
        <f t="shared" si="4"/>
        <v>0</v>
      </c>
      <c r="W35" s="4">
        <f t="shared" si="4"/>
        <v>0</v>
      </c>
      <c r="X35" s="4">
        <f t="shared" si="4"/>
        <v>0</v>
      </c>
      <c r="Y35" s="4">
        <f t="shared" si="4"/>
        <v>0</v>
      </c>
      <c r="Z35" s="4">
        <f t="shared" si="4"/>
        <v>0</v>
      </c>
      <c r="AA35" s="4">
        <f t="shared" si="4"/>
        <v>0</v>
      </c>
      <c r="AB35" s="4">
        <f t="shared" si="4"/>
        <v>0</v>
      </c>
      <c r="AC35" s="4">
        <f t="shared" si="4"/>
        <v>0</v>
      </c>
      <c r="AD35" s="4">
        <f t="shared" si="4"/>
        <v>0</v>
      </c>
      <c r="AE35" s="4">
        <f t="shared" si="4"/>
        <v>0</v>
      </c>
      <c r="AF35" s="4">
        <f>IF($O35=AF$17,$N35,0)</f>
        <v>0</v>
      </c>
      <c r="AG35" s="4">
        <f>IF($O35=AG$17,$N35,0)</f>
        <v>0</v>
      </c>
    </row>
    <row r="36" spans="1:18" ht="12.75" customHeight="1">
      <c r="A36" s="141" t="s">
        <v>65</v>
      </c>
      <c r="B36" s="141"/>
      <c r="C36" s="218"/>
      <c r="D36" s="135"/>
      <c r="E36" s="136"/>
      <c r="F36" s="137"/>
      <c r="G36" s="137"/>
      <c r="H36" s="163"/>
      <c r="I36" s="138"/>
      <c r="J36" s="139"/>
      <c r="K36" s="139"/>
      <c r="L36" s="138"/>
      <c r="M36" s="136"/>
      <c r="N36" s="139"/>
      <c r="O36" s="219"/>
      <c r="P36">
        <f>IF(C37+D37=0,"",1)</f>
      </c>
      <c r="Q36" s="27"/>
      <c r="R36" s="4"/>
    </row>
    <row r="37" spans="1:33" ht="25.5" customHeight="1">
      <c r="A37" s="147" t="s">
        <v>83</v>
      </c>
      <c r="B37" s="234"/>
      <c r="C37" s="1"/>
      <c r="D37" s="217"/>
      <c r="E37" s="78">
        <f>1/12*(0.95*C37+$B$13*D37)*43560</f>
        <v>0</v>
      </c>
      <c r="F37" s="247" t="s">
        <v>75</v>
      </c>
      <c r="G37" s="248"/>
      <c r="H37" s="221">
        <v>1</v>
      </c>
      <c r="I37" s="37">
        <f>AC45</f>
        <v>0</v>
      </c>
      <c r="J37" s="128">
        <f t="shared" si="3"/>
        <v>0</v>
      </c>
      <c r="K37" s="156" t="s">
        <v>30</v>
      </c>
      <c r="L37" s="111"/>
      <c r="M37" s="79">
        <f>IF(L37*H37&lt;=J37,L37*H37,J37)</f>
        <v>0</v>
      </c>
      <c r="N37" s="154">
        <f t="shared" si="0"/>
        <v>0</v>
      </c>
      <c r="O37" s="80"/>
      <c r="P37">
        <f>IF(C37+D37=0,"",C37+D37)</f>
      </c>
      <c r="Q37" s="27"/>
      <c r="R37" s="4"/>
      <c r="S37" s="4">
        <f>IF($O37=S$17,$N37,0)</f>
        <v>0</v>
      </c>
      <c r="T37" s="4">
        <f aca="true" t="shared" si="5" ref="T37:AF37">IF($O37=T$17,$N37,0)</f>
        <v>0</v>
      </c>
      <c r="U37" s="4">
        <f t="shared" si="5"/>
        <v>0</v>
      </c>
      <c r="V37" s="4">
        <f t="shared" si="5"/>
        <v>0</v>
      </c>
      <c r="W37" s="4">
        <f t="shared" si="5"/>
        <v>0</v>
      </c>
      <c r="X37" s="4">
        <f t="shared" si="5"/>
        <v>0</v>
      </c>
      <c r="Y37" s="4">
        <f t="shared" si="5"/>
        <v>0</v>
      </c>
      <c r="Z37" s="4">
        <f t="shared" si="5"/>
        <v>0</v>
      </c>
      <c r="AA37" s="4">
        <f t="shared" si="5"/>
        <v>0</v>
      </c>
      <c r="AB37" s="4">
        <f t="shared" si="5"/>
        <v>0</v>
      </c>
      <c r="AC37" s="4">
        <f t="shared" si="5"/>
        <v>0</v>
      </c>
      <c r="AD37" s="4">
        <f t="shared" si="5"/>
        <v>0</v>
      </c>
      <c r="AE37" s="4">
        <f t="shared" si="5"/>
        <v>0</v>
      </c>
      <c r="AF37" s="4">
        <f t="shared" si="5"/>
        <v>0</v>
      </c>
      <c r="AG37" s="4">
        <f>IF($O37=AG$17,$N37,0)</f>
        <v>0</v>
      </c>
    </row>
    <row r="38" spans="1:18" ht="12.75">
      <c r="A38" s="144" t="s">
        <v>66</v>
      </c>
      <c r="B38" s="141"/>
      <c r="C38" s="218"/>
      <c r="D38" s="135"/>
      <c r="E38" s="136"/>
      <c r="F38" s="137"/>
      <c r="G38" s="137"/>
      <c r="H38" s="163"/>
      <c r="I38" s="138"/>
      <c r="J38" s="139"/>
      <c r="K38" s="139"/>
      <c r="L38" s="138"/>
      <c r="M38" s="136"/>
      <c r="N38" s="139"/>
      <c r="O38" s="219"/>
      <c r="P38">
        <f>IF(C39+D39=0,"",1)</f>
      </c>
      <c r="Q38" s="27"/>
      <c r="R38" s="4"/>
    </row>
    <row r="39" spans="1:33" ht="25.5" customHeight="1">
      <c r="A39" s="147" t="s">
        <v>84</v>
      </c>
      <c r="B39" s="234"/>
      <c r="C39" s="1"/>
      <c r="D39" s="217"/>
      <c r="E39" s="78">
        <f>1/12*(0.95*C39+$B$13*D39)*43560</f>
        <v>0</v>
      </c>
      <c r="F39" s="247" t="s">
        <v>132</v>
      </c>
      <c r="G39" s="248"/>
      <c r="H39" s="221">
        <v>0.1</v>
      </c>
      <c r="I39" s="37">
        <f>AD45</f>
        <v>0</v>
      </c>
      <c r="J39" s="37">
        <f t="shared" si="3"/>
        <v>0</v>
      </c>
      <c r="K39" s="156" t="s">
        <v>30</v>
      </c>
      <c r="L39" s="37" t="s">
        <v>30</v>
      </c>
      <c r="M39" s="79">
        <f>J39*H39</f>
        <v>0</v>
      </c>
      <c r="N39" s="154">
        <f t="shared" si="0"/>
        <v>0</v>
      </c>
      <c r="O39" s="80"/>
      <c r="P39">
        <f>IF(C39+D39=0,"",C39+D39)</f>
      </c>
      <c r="Q39" s="27"/>
      <c r="R39" s="4"/>
      <c r="S39" s="4">
        <f>IF($O39=S$17,$N39,0)</f>
        <v>0</v>
      </c>
      <c r="T39" s="4">
        <f aca="true" t="shared" si="6" ref="T39:AF39">IF($O39=T$17,$N39,0)</f>
        <v>0</v>
      </c>
      <c r="U39" s="4">
        <f t="shared" si="6"/>
        <v>0</v>
      </c>
      <c r="V39" s="4">
        <f t="shared" si="6"/>
        <v>0</v>
      </c>
      <c r="W39" s="4">
        <f t="shared" si="6"/>
        <v>0</v>
      </c>
      <c r="X39" s="4">
        <f t="shared" si="6"/>
        <v>0</v>
      </c>
      <c r="Y39" s="4">
        <f t="shared" si="6"/>
        <v>0</v>
      </c>
      <c r="Z39" s="4">
        <f t="shared" si="6"/>
        <v>0</v>
      </c>
      <c r="AA39" s="4">
        <f t="shared" si="6"/>
        <v>0</v>
      </c>
      <c r="AB39" s="4">
        <f t="shared" si="6"/>
        <v>0</v>
      </c>
      <c r="AC39" s="4">
        <f t="shared" si="6"/>
        <v>0</v>
      </c>
      <c r="AD39" s="4">
        <f t="shared" si="6"/>
        <v>0</v>
      </c>
      <c r="AE39" s="4">
        <f t="shared" si="6"/>
        <v>0</v>
      </c>
      <c r="AF39" s="4">
        <f t="shared" si="6"/>
        <v>0</v>
      </c>
      <c r="AG39" s="4">
        <f>IF($O39=AG$17,$N39,0)</f>
        <v>0</v>
      </c>
    </row>
    <row r="40" spans="1:18" ht="12.75">
      <c r="A40" s="145" t="s">
        <v>67</v>
      </c>
      <c r="B40" s="145"/>
      <c r="C40" s="218"/>
      <c r="D40" s="135"/>
      <c r="E40" s="136"/>
      <c r="F40" s="137"/>
      <c r="G40" s="137"/>
      <c r="H40" s="163"/>
      <c r="I40" s="138"/>
      <c r="J40" s="139"/>
      <c r="K40" s="139"/>
      <c r="L40" s="138"/>
      <c r="M40" s="136"/>
      <c r="N40" s="139"/>
      <c r="O40" s="219"/>
      <c r="P40">
        <f>IF(SUM(C41:D43)=0,"",1)</f>
      </c>
      <c r="Q40" s="27"/>
      <c r="R40" s="4"/>
    </row>
    <row r="41" spans="1:18" ht="38.25" customHeight="1">
      <c r="A41" s="149" t="s">
        <v>85</v>
      </c>
      <c r="B41" s="235"/>
      <c r="C41" s="1"/>
      <c r="D41" s="217"/>
      <c r="E41" s="78">
        <f>1/12*(0.95*C41+$B$13*D41)*43560</f>
        <v>0</v>
      </c>
      <c r="F41" s="247" t="s">
        <v>101</v>
      </c>
      <c r="G41" s="248"/>
      <c r="H41" s="221" t="s">
        <v>30</v>
      </c>
      <c r="I41" s="37">
        <f>AE45</f>
        <v>0</v>
      </c>
      <c r="J41" s="37">
        <f t="shared" si="3"/>
        <v>0</v>
      </c>
      <c r="K41" s="215"/>
      <c r="L41" s="76" t="s">
        <v>30</v>
      </c>
      <c r="M41" s="79">
        <f>IF(K41*0.09&lt;=J41,K41*0.09,J41)</f>
        <v>0</v>
      </c>
      <c r="N41" s="154">
        <f t="shared" si="0"/>
        <v>0</v>
      </c>
      <c r="O41" s="220" t="s">
        <v>30</v>
      </c>
      <c r="P41">
        <f>IF(C41+D41=0,"",C41+D41)</f>
      </c>
      <c r="Q41" s="27"/>
      <c r="R41" s="4"/>
    </row>
    <row r="42" spans="1:18" ht="38.25" customHeight="1">
      <c r="A42" s="149" t="s">
        <v>86</v>
      </c>
      <c r="B42" s="235"/>
      <c r="C42" s="1"/>
      <c r="D42" s="217"/>
      <c r="E42" s="78">
        <f>1/12*(0.95*C42+$B$13*D42)*43560</f>
        <v>0</v>
      </c>
      <c r="F42" s="247" t="s">
        <v>102</v>
      </c>
      <c r="G42" s="248"/>
      <c r="H42" s="221" t="s">
        <v>30</v>
      </c>
      <c r="I42" s="37">
        <f>AF45</f>
        <v>0</v>
      </c>
      <c r="J42" s="37">
        <f t="shared" si="3"/>
        <v>0</v>
      </c>
      <c r="K42" s="215"/>
      <c r="L42" s="76" t="s">
        <v>30</v>
      </c>
      <c r="M42" s="79">
        <f>IF(K42*0.06&lt;=J42,K42*0.06,J42)</f>
        <v>0</v>
      </c>
      <c r="N42" s="154">
        <f t="shared" si="0"/>
        <v>0</v>
      </c>
      <c r="O42" s="220" t="s">
        <v>30</v>
      </c>
      <c r="P42">
        <f>IF(C42+D42=0,"",C42+D42)</f>
      </c>
      <c r="Q42" s="27"/>
      <c r="R42" s="4"/>
    </row>
    <row r="43" spans="1:18" ht="38.25" customHeight="1">
      <c r="A43" s="153" t="s">
        <v>137</v>
      </c>
      <c r="B43" s="236"/>
      <c r="C43" s="1"/>
      <c r="D43" s="217"/>
      <c r="E43" s="78">
        <f>1/12*(0.95*C43+$B$13*D43)*43560</f>
        <v>0</v>
      </c>
      <c r="F43" s="247" t="s">
        <v>102</v>
      </c>
      <c r="G43" s="248"/>
      <c r="H43" s="221" t="s">
        <v>30</v>
      </c>
      <c r="I43" s="37">
        <f>AG45</f>
        <v>0</v>
      </c>
      <c r="J43" s="37">
        <f t="shared" si="3"/>
        <v>0</v>
      </c>
      <c r="K43" s="215"/>
      <c r="L43" s="76" t="s">
        <v>30</v>
      </c>
      <c r="M43" s="79">
        <f>IF(K43*0.06&lt;=J43,K43*0.06,J43)</f>
        <v>0</v>
      </c>
      <c r="N43" s="154">
        <f t="shared" si="0"/>
        <v>0</v>
      </c>
      <c r="O43" s="220" t="s">
        <v>30</v>
      </c>
      <c r="P43">
        <f>IF(C43+D43=0,"",C43+D43)</f>
      </c>
      <c r="Q43" s="27"/>
      <c r="R43" s="4"/>
    </row>
    <row r="44" spans="1:61" s="9" customFormat="1" ht="25.5" customHeight="1">
      <c r="A44" s="252" t="s">
        <v>7</v>
      </c>
      <c r="B44" s="253"/>
      <c r="C44" s="81">
        <f>SUM(C17:C43)</f>
        <v>0</v>
      </c>
      <c r="D44" s="82">
        <f>SUM(D17:D43)</f>
        <v>0</v>
      </c>
      <c r="E44" s="94"/>
      <c r="F44" s="249" t="s">
        <v>148</v>
      </c>
      <c r="G44" s="250"/>
      <c r="H44" s="250"/>
      <c r="I44" s="250"/>
      <c r="J44" s="250"/>
      <c r="K44" s="250"/>
      <c r="L44" s="251"/>
      <c r="M44" s="150">
        <f>SUM(M17:M43)</f>
        <v>0</v>
      </c>
      <c r="N44" s="244" t="s">
        <v>123</v>
      </c>
      <c r="O44" s="245"/>
      <c r="P44" s="27"/>
      <c r="Q44" s="40"/>
      <c r="R44" s="40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</row>
    <row r="45" spans="1:33" ht="12.75" customHeight="1">
      <c r="A45" s="63"/>
      <c r="B45" s="63"/>
      <c r="C45" s="64"/>
      <c r="D45" s="64"/>
      <c r="E45" s="64"/>
      <c r="F45" s="5"/>
      <c r="G45" s="5"/>
      <c r="H45" s="5"/>
      <c r="P45" s="27"/>
      <c r="R45" s="40" t="s">
        <v>7</v>
      </c>
      <c r="S45" s="40">
        <f aca="true" t="shared" si="7" ref="S45:AA45">SUM(S17:S44)</f>
        <v>0</v>
      </c>
      <c r="T45" s="40">
        <f t="shared" si="7"/>
        <v>0</v>
      </c>
      <c r="U45" s="40">
        <f t="shared" si="7"/>
        <v>0</v>
      </c>
      <c r="V45" s="40">
        <f t="shared" si="7"/>
        <v>0</v>
      </c>
      <c r="W45" s="40">
        <f t="shared" si="7"/>
        <v>0</v>
      </c>
      <c r="X45" s="40">
        <f t="shared" si="7"/>
        <v>0</v>
      </c>
      <c r="Y45" s="40">
        <f t="shared" si="7"/>
        <v>0</v>
      </c>
      <c r="Z45" s="40">
        <f t="shared" si="7"/>
        <v>0</v>
      </c>
      <c r="AA45" s="40">
        <f t="shared" si="7"/>
        <v>0</v>
      </c>
      <c r="AB45" s="40">
        <f aca="true" t="shared" si="8" ref="AB45:AG45">SUM(AB17:AB44)</f>
        <v>0</v>
      </c>
      <c r="AC45" s="40">
        <f t="shared" si="8"/>
        <v>0</v>
      </c>
      <c r="AD45" s="40">
        <f t="shared" si="8"/>
        <v>0</v>
      </c>
      <c r="AE45" s="40">
        <f t="shared" si="8"/>
        <v>0</v>
      </c>
      <c r="AF45" s="40">
        <f t="shared" si="8"/>
        <v>0</v>
      </c>
      <c r="AG45" s="40">
        <f t="shared" si="8"/>
        <v>0</v>
      </c>
    </row>
    <row r="46" spans="1:23" ht="12.75" customHeight="1">
      <c r="A46" s="63"/>
      <c r="B46" s="63"/>
      <c r="C46" s="64"/>
      <c r="D46" s="64"/>
      <c r="E46" s="64"/>
      <c r="F46" s="5"/>
      <c r="G46" s="5"/>
      <c r="H46" s="5"/>
      <c r="I46" s="256" t="s">
        <v>149</v>
      </c>
      <c r="J46" s="256"/>
      <c r="K46" s="256"/>
      <c r="L46" s="256"/>
      <c r="M46" s="226">
        <f>F15-M44</f>
        <v>0</v>
      </c>
      <c r="P46" s="27"/>
      <c r="R46" s="5"/>
      <c r="T46" s="6"/>
      <c r="U46" s="6"/>
      <c r="V46" s="6"/>
      <c r="W46" s="6"/>
    </row>
    <row r="47" spans="1:23" ht="12.75">
      <c r="A47" s="15"/>
      <c r="B47" s="15"/>
      <c r="C47" s="77"/>
      <c r="D47" s="64"/>
      <c r="E47" s="64"/>
      <c r="F47" s="5"/>
      <c r="G47" s="5"/>
      <c r="H47" s="5"/>
      <c r="L47" s="5"/>
      <c r="M47" s="5"/>
      <c r="R47" s="5"/>
      <c r="T47" s="6"/>
      <c r="U47" s="6"/>
      <c r="V47" s="6"/>
      <c r="W47" s="6"/>
    </row>
    <row r="48" spans="1:23" ht="12.75">
      <c r="A48" s="246"/>
      <c r="B48" s="246"/>
      <c r="C48" s="246"/>
      <c r="D48" s="246"/>
      <c r="E48" s="100"/>
      <c r="F48" s="5"/>
      <c r="G48" s="5"/>
      <c r="H48" s="5"/>
      <c r="L48" s="5"/>
      <c r="M48" s="5"/>
      <c r="R48" s="5"/>
      <c r="T48" s="6"/>
      <c r="U48" s="6"/>
      <c r="V48" s="6"/>
      <c r="W48" s="6"/>
    </row>
    <row r="49" spans="1:23" ht="12.75">
      <c r="A49" s="246"/>
      <c r="B49" s="246"/>
      <c r="C49" s="246"/>
      <c r="D49" s="246"/>
      <c r="E49" s="101"/>
      <c r="F49" s="5"/>
      <c r="G49" s="5"/>
      <c r="H49" s="5"/>
      <c r="L49" s="5"/>
      <c r="M49" s="5"/>
      <c r="R49" s="5"/>
      <c r="T49" s="6"/>
      <c r="U49" s="6"/>
      <c r="V49" s="6"/>
      <c r="W49" s="6"/>
    </row>
    <row r="50" spans="1:23" ht="12.75" hidden="1">
      <c r="A50" s="96" t="s">
        <v>88</v>
      </c>
      <c r="B50" s="229"/>
      <c r="C50" s="64"/>
      <c r="D50" s="35"/>
      <c r="E50" s="35"/>
      <c r="F50" s="35"/>
      <c r="G50" s="35"/>
      <c r="H50" s="35"/>
      <c r="I50" s="35"/>
      <c r="K50" s="161"/>
      <c r="L50" s="161"/>
      <c r="M50" s="161"/>
      <c r="N50" s="161"/>
      <c r="O50" s="161"/>
      <c r="R50" s="5"/>
      <c r="T50" s="6"/>
      <c r="U50" s="6"/>
      <c r="V50" s="6"/>
      <c r="W50" s="6"/>
    </row>
    <row r="51" spans="1:23" ht="25.5" hidden="1">
      <c r="A51" s="146" t="s">
        <v>76</v>
      </c>
      <c r="B51" s="230"/>
      <c r="C51" s="64"/>
      <c r="D51" s="64"/>
      <c r="E51" s="5"/>
      <c r="L51" s="5"/>
      <c r="M51" s="5"/>
      <c r="R51" s="5"/>
      <c r="T51" s="6"/>
      <c r="U51" s="6"/>
      <c r="V51" s="6"/>
      <c r="W51" s="6"/>
    </row>
    <row r="52" spans="1:23" ht="12.75" hidden="1">
      <c r="A52" s="146" t="s">
        <v>77</v>
      </c>
      <c r="B52" s="230"/>
      <c r="C52" s="64"/>
      <c r="L52" s="5"/>
      <c r="M52" s="5"/>
      <c r="R52" s="5"/>
      <c r="T52" s="6"/>
      <c r="U52" s="6"/>
      <c r="V52" s="6"/>
      <c r="W52" s="6"/>
    </row>
    <row r="53" spans="1:23" ht="12.75" hidden="1">
      <c r="A53" s="146" t="s">
        <v>78</v>
      </c>
      <c r="B53" s="230"/>
      <c r="C53" s="64"/>
      <c r="D53" s="64"/>
      <c r="E53" s="157"/>
      <c r="F53" s="5"/>
      <c r="I53" s="159"/>
      <c r="L53" s="157"/>
      <c r="M53" s="5"/>
      <c r="O53" s="157"/>
      <c r="R53" s="5"/>
      <c r="T53" s="6"/>
      <c r="U53" s="6"/>
      <c r="V53" s="6"/>
      <c r="W53" s="6"/>
    </row>
    <row r="54" spans="1:23" ht="12.75" hidden="1">
      <c r="A54" s="146" t="s">
        <v>79</v>
      </c>
      <c r="B54" s="230"/>
      <c r="C54" s="64"/>
      <c r="D54" s="64"/>
      <c r="E54" s="157"/>
      <c r="F54" s="5"/>
      <c r="I54" s="159"/>
      <c r="L54" s="157"/>
      <c r="M54" s="5"/>
      <c r="O54" s="157"/>
      <c r="R54" s="5"/>
      <c r="T54" s="6"/>
      <c r="U54" s="6"/>
      <c r="V54" s="6"/>
      <c r="W54" s="6"/>
    </row>
    <row r="55" spans="1:23" ht="12.75" hidden="1">
      <c r="A55" s="147" t="s">
        <v>80</v>
      </c>
      <c r="B55" s="43"/>
      <c r="C55" s="64"/>
      <c r="D55" s="64"/>
      <c r="E55" s="157"/>
      <c r="F55" s="5"/>
      <c r="I55" s="159"/>
      <c r="L55" s="157"/>
      <c r="M55" s="5"/>
      <c r="O55" s="157"/>
      <c r="R55" s="5"/>
      <c r="T55" s="6"/>
      <c r="U55" s="6"/>
      <c r="V55" s="6"/>
      <c r="W55" s="6"/>
    </row>
    <row r="56" spans="1:23" ht="12.75" hidden="1">
      <c r="A56" s="147" t="s">
        <v>81</v>
      </c>
      <c r="B56" s="43"/>
      <c r="C56" s="64"/>
      <c r="D56" s="64"/>
      <c r="E56" s="157"/>
      <c r="F56" s="5"/>
      <c r="I56" s="159"/>
      <c r="L56" s="157"/>
      <c r="M56" s="5"/>
      <c r="O56" s="157"/>
      <c r="R56" s="5"/>
      <c r="T56" s="6"/>
      <c r="U56" s="6"/>
      <c r="V56" s="6"/>
      <c r="W56" s="6"/>
    </row>
    <row r="57" spans="1:23" ht="12.75" hidden="1">
      <c r="A57" s="147" t="s">
        <v>82</v>
      </c>
      <c r="B57" s="43"/>
      <c r="C57" s="64"/>
      <c r="D57" s="64"/>
      <c r="E57" s="157"/>
      <c r="F57" s="5"/>
      <c r="I57" s="159"/>
      <c r="L57" s="157"/>
      <c r="M57" s="5"/>
      <c r="O57" s="157"/>
      <c r="R57" s="5"/>
      <c r="T57" s="6"/>
      <c r="U57" s="6"/>
      <c r="V57" s="6"/>
      <c r="W57" s="6"/>
    </row>
    <row r="58" spans="1:23" ht="12.75" hidden="1">
      <c r="A58" s="147" t="s">
        <v>141</v>
      </c>
      <c r="B58" s="43"/>
      <c r="C58" s="64"/>
      <c r="D58" s="64"/>
      <c r="E58" s="157"/>
      <c r="F58" s="5"/>
      <c r="I58" s="159"/>
      <c r="L58" s="157"/>
      <c r="M58" s="5"/>
      <c r="O58" s="157"/>
      <c r="R58" s="5"/>
      <c r="T58" s="6"/>
      <c r="U58" s="6"/>
      <c r="V58" s="6"/>
      <c r="W58" s="6"/>
    </row>
    <row r="59" spans="1:23" ht="12.75" hidden="1">
      <c r="A59" s="147" t="s">
        <v>142</v>
      </c>
      <c r="B59" s="43"/>
      <c r="C59" s="64"/>
      <c r="D59" s="64"/>
      <c r="E59" s="157"/>
      <c r="F59" s="5"/>
      <c r="I59" s="159"/>
      <c r="L59" s="157"/>
      <c r="M59" s="5"/>
      <c r="O59" s="157"/>
      <c r="R59" s="5"/>
      <c r="T59" s="6"/>
      <c r="U59" s="6"/>
      <c r="V59" s="6"/>
      <c r="W59" s="6"/>
    </row>
    <row r="60" spans="1:23" ht="12.75" hidden="1">
      <c r="A60" s="147" t="s">
        <v>83</v>
      </c>
      <c r="B60" s="43"/>
      <c r="C60" s="64"/>
      <c r="D60" s="64"/>
      <c r="E60" s="157"/>
      <c r="F60" s="5"/>
      <c r="I60" s="159"/>
      <c r="L60" s="157"/>
      <c r="M60" s="5"/>
      <c r="O60" s="157"/>
      <c r="R60" s="5"/>
      <c r="T60" s="6"/>
      <c r="U60" s="6"/>
      <c r="V60" s="6"/>
      <c r="W60" s="6"/>
    </row>
    <row r="61" spans="1:23" ht="12.75" hidden="1">
      <c r="A61" s="152" t="s">
        <v>84</v>
      </c>
      <c r="B61" s="43"/>
      <c r="C61" s="64"/>
      <c r="D61" s="64"/>
      <c r="E61" s="157"/>
      <c r="F61" s="5"/>
      <c r="I61" s="159"/>
      <c r="L61" s="157"/>
      <c r="M61" s="5"/>
      <c r="O61" s="157"/>
      <c r="R61" s="5"/>
      <c r="T61" s="6"/>
      <c r="U61" s="6"/>
      <c r="V61" s="6"/>
      <c r="W61" s="6"/>
    </row>
    <row r="62" spans="1:23" ht="12.75" hidden="1">
      <c r="A62" s="153" t="s">
        <v>85</v>
      </c>
      <c r="B62" s="222"/>
      <c r="C62" s="64"/>
      <c r="D62" s="64"/>
      <c r="E62" s="157"/>
      <c r="F62" s="5"/>
      <c r="I62" s="159"/>
      <c r="L62" s="157"/>
      <c r="M62" s="5"/>
      <c r="O62" s="157"/>
      <c r="R62" s="5"/>
      <c r="T62" s="6"/>
      <c r="U62" s="6"/>
      <c r="V62" s="6"/>
      <c r="W62" s="6"/>
    </row>
    <row r="63" spans="1:23" ht="12.75" hidden="1">
      <c r="A63" s="153" t="s">
        <v>86</v>
      </c>
      <c r="B63" s="222"/>
      <c r="C63" s="64"/>
      <c r="D63" s="64"/>
      <c r="E63" s="157"/>
      <c r="F63" s="5"/>
      <c r="I63" s="159"/>
      <c r="L63" s="157"/>
      <c r="M63" s="5"/>
      <c r="O63" s="157"/>
      <c r="R63" s="5"/>
      <c r="T63" s="6"/>
      <c r="U63" s="6"/>
      <c r="V63" s="6"/>
      <c r="W63" s="6"/>
    </row>
    <row r="64" spans="1:27" ht="12.75" customHeight="1" hidden="1">
      <c r="A64" s="153" t="s">
        <v>87</v>
      </c>
      <c r="B64" s="222"/>
      <c r="C64" s="6"/>
      <c r="D64" s="64"/>
      <c r="E64" s="157"/>
      <c r="F64" s="6"/>
      <c r="I64" s="159"/>
      <c r="L64" s="157"/>
      <c r="M64" s="6"/>
      <c r="O64" s="157"/>
      <c r="P64" s="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19" ht="12.75">
      <c r="A65" s="87"/>
      <c r="B65" s="87"/>
      <c r="C65" s="6"/>
      <c r="D65" s="64"/>
      <c r="E65" s="157"/>
      <c r="F65" s="6"/>
      <c r="I65" s="159"/>
      <c r="L65" s="157"/>
      <c r="M65" s="6"/>
      <c r="O65" s="157"/>
      <c r="P65" s="64"/>
      <c r="Q65" s="64"/>
      <c r="R65" s="64"/>
      <c r="S65" s="6"/>
    </row>
    <row r="66" spans="1:23" ht="12.75">
      <c r="A66" s="87"/>
      <c r="B66" s="87"/>
      <c r="C66" s="36"/>
      <c r="D66" s="64"/>
      <c r="E66" s="157"/>
      <c r="F66" s="36"/>
      <c r="I66" s="159"/>
      <c r="L66" s="157"/>
      <c r="M66" s="34"/>
      <c r="O66" s="157"/>
      <c r="P66" s="64"/>
      <c r="Q66" s="64"/>
      <c r="R66" s="64"/>
      <c r="T66" s="109"/>
      <c r="U66" s="109"/>
      <c r="V66" s="109"/>
      <c r="W66" s="109"/>
    </row>
    <row r="67" spans="1:48" ht="18">
      <c r="A67" s="88"/>
      <c r="B67" s="88"/>
      <c r="C67" s="36"/>
      <c r="D67" s="64"/>
      <c r="E67" s="157"/>
      <c r="F67" s="36"/>
      <c r="I67" s="159"/>
      <c r="L67" s="157"/>
      <c r="M67" s="34"/>
      <c r="O67" s="157"/>
      <c r="P67" s="64"/>
      <c r="Q67" s="64"/>
      <c r="R67" s="64"/>
      <c r="T67" s="109"/>
      <c r="U67" s="109"/>
      <c r="V67" s="109"/>
      <c r="W67" s="10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</row>
    <row r="68" spans="1:48" ht="18">
      <c r="A68" s="88"/>
      <c r="B68" s="88"/>
      <c r="C68" s="36"/>
      <c r="D68" s="64"/>
      <c r="E68" s="157"/>
      <c r="F68" s="87"/>
      <c r="I68" s="159"/>
      <c r="L68" s="157"/>
      <c r="M68" s="34"/>
      <c r="O68" s="157"/>
      <c r="P68" s="64"/>
      <c r="Q68" s="64"/>
      <c r="R68" s="64"/>
      <c r="T68" s="109"/>
      <c r="U68" s="109"/>
      <c r="V68" s="109"/>
      <c r="W68" s="10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</row>
    <row r="69" spans="1:19" ht="26.25" customHeight="1">
      <c r="A69" s="87"/>
      <c r="B69" s="87"/>
      <c r="C69" s="36"/>
      <c r="D69" s="64"/>
      <c r="E69" s="157"/>
      <c r="F69" s="87"/>
      <c r="I69" s="159"/>
      <c r="L69" s="157"/>
      <c r="M69" s="36"/>
      <c r="O69" s="157"/>
      <c r="P69" s="64"/>
      <c r="Q69" s="64"/>
      <c r="R69" s="64"/>
      <c r="S69" s="6"/>
    </row>
    <row r="70" spans="1:19" ht="26.25" customHeight="1">
      <c r="A70" s="89"/>
      <c r="B70" s="89"/>
      <c r="C70" s="36"/>
      <c r="D70" s="64"/>
      <c r="E70" s="157"/>
      <c r="F70" s="87"/>
      <c r="I70" s="159"/>
      <c r="L70" s="157"/>
      <c r="M70" s="36"/>
      <c r="O70" s="157"/>
      <c r="P70" s="38"/>
      <c r="Q70" s="4"/>
      <c r="R70" s="6"/>
      <c r="S70" s="6"/>
    </row>
    <row r="71" spans="1:23" ht="26.25" customHeight="1">
      <c r="A71" s="89"/>
      <c r="B71" s="89"/>
      <c r="C71" s="36"/>
      <c r="D71" s="88"/>
      <c r="E71" s="157"/>
      <c r="F71" s="88"/>
      <c r="I71" s="159"/>
      <c r="L71" s="157"/>
      <c r="M71" s="36"/>
      <c r="O71" s="157"/>
      <c r="P71" s="4"/>
      <c r="Q71" s="6"/>
      <c r="R71" s="6"/>
      <c r="S71" s="6"/>
      <c r="T71" s="109"/>
      <c r="U71" s="109"/>
      <c r="V71" s="109"/>
      <c r="W71" s="109"/>
    </row>
    <row r="72" spans="1:23" ht="26.25" customHeight="1">
      <c r="A72" s="87"/>
      <c r="B72" s="87"/>
      <c r="C72" s="36"/>
      <c r="D72" s="88"/>
      <c r="E72" s="157"/>
      <c r="F72" s="88"/>
      <c r="I72" s="159"/>
      <c r="L72" s="157"/>
      <c r="M72" s="36"/>
      <c r="O72" s="157"/>
      <c r="P72" s="4"/>
      <c r="Q72" s="6"/>
      <c r="R72" s="6"/>
      <c r="S72" s="6"/>
      <c r="T72" s="109"/>
      <c r="U72" s="109"/>
      <c r="V72" s="109"/>
      <c r="W72" s="109"/>
    </row>
    <row r="73" spans="1:23" ht="12.75" customHeight="1">
      <c r="A73" s="87"/>
      <c r="B73" s="87"/>
      <c r="C73" s="36"/>
      <c r="D73" s="88"/>
      <c r="E73" s="157"/>
      <c r="F73" s="87"/>
      <c r="I73" s="159"/>
      <c r="L73" s="157"/>
      <c r="M73" s="36"/>
      <c r="O73" s="157"/>
      <c r="P73" s="4"/>
      <c r="Q73" s="6"/>
      <c r="R73" s="6"/>
      <c r="S73" s="6"/>
      <c r="T73" s="109"/>
      <c r="U73" s="109"/>
      <c r="V73" s="109"/>
      <c r="W73" s="109"/>
    </row>
    <row r="74" spans="1:23" ht="12.75" customHeight="1">
      <c r="A74" s="87"/>
      <c r="B74" s="87"/>
      <c r="C74" s="42"/>
      <c r="D74" s="88"/>
      <c r="E74" s="157"/>
      <c r="F74" s="89"/>
      <c r="I74" s="159"/>
      <c r="L74" s="157"/>
      <c r="M74" s="42"/>
      <c r="O74" s="157"/>
      <c r="P74" s="4"/>
      <c r="Q74" s="6"/>
      <c r="R74" s="6"/>
      <c r="S74" s="6"/>
      <c r="T74" s="109"/>
      <c r="U74" s="109"/>
      <c r="V74" s="109"/>
      <c r="W74" s="109"/>
    </row>
    <row r="75" spans="1:19" ht="12.75">
      <c r="A75" s="87"/>
      <c r="B75" s="87"/>
      <c r="C75" s="36"/>
      <c r="D75" s="88"/>
      <c r="E75" s="157"/>
      <c r="F75" s="89"/>
      <c r="I75" s="159"/>
      <c r="L75" s="157"/>
      <c r="M75" s="42"/>
      <c r="O75" s="157"/>
      <c r="P75" s="4"/>
      <c r="Q75" s="6"/>
      <c r="R75" s="6"/>
      <c r="S75" s="6"/>
    </row>
    <row r="76" spans="1:19" ht="12.75" customHeight="1">
      <c r="A76" s="87"/>
      <c r="B76" s="87"/>
      <c r="C76" s="36"/>
      <c r="D76" s="88"/>
      <c r="E76" s="157"/>
      <c r="F76" s="87"/>
      <c r="I76" s="159"/>
      <c r="L76" s="157"/>
      <c r="M76" s="36"/>
      <c r="O76" s="157"/>
      <c r="P76" s="38"/>
      <c r="Q76" s="4"/>
      <c r="R76" s="6"/>
      <c r="S76" s="6"/>
    </row>
    <row r="77" spans="1:23" ht="12.75" customHeight="1">
      <c r="A77" s="87"/>
      <c r="B77" s="87"/>
      <c r="C77" s="36"/>
      <c r="D77" s="88"/>
      <c r="E77" s="157"/>
      <c r="F77" s="87"/>
      <c r="I77" s="159"/>
      <c r="L77" s="157"/>
      <c r="M77" s="36"/>
      <c r="O77" s="157"/>
      <c r="P77" s="4"/>
      <c r="Q77" s="6"/>
      <c r="R77" s="6"/>
      <c r="S77" s="6"/>
      <c r="T77" s="109"/>
      <c r="U77" s="109"/>
      <c r="V77" s="109"/>
      <c r="W77" s="109"/>
    </row>
    <row r="78" spans="1:23" ht="12.75" customHeight="1">
      <c r="A78" s="43"/>
      <c r="B78" s="43"/>
      <c r="C78" s="36"/>
      <c r="D78" s="88"/>
      <c r="E78" s="157"/>
      <c r="F78" s="87"/>
      <c r="I78" s="159"/>
      <c r="L78" s="157"/>
      <c r="M78" s="42"/>
      <c r="O78" s="157"/>
      <c r="P78" s="4"/>
      <c r="Q78" s="6"/>
      <c r="R78" s="6"/>
      <c r="S78" s="6"/>
      <c r="T78" s="109"/>
      <c r="U78" s="109"/>
      <c r="V78" s="109"/>
      <c r="W78" s="109"/>
    </row>
    <row r="79" spans="1:23" ht="12.75" customHeight="1">
      <c r="A79" s="43"/>
      <c r="B79" s="43"/>
      <c r="C79" s="36"/>
      <c r="D79" s="88"/>
      <c r="E79" s="157"/>
      <c r="F79" s="87"/>
      <c r="I79" s="159"/>
      <c r="L79" s="157"/>
      <c r="M79" s="36"/>
      <c r="O79" s="157"/>
      <c r="P79" s="4"/>
      <c r="Q79" s="6"/>
      <c r="R79" s="6"/>
      <c r="S79" s="6"/>
      <c r="T79" s="109"/>
      <c r="U79" s="109"/>
      <c r="V79" s="109"/>
      <c r="W79" s="109"/>
    </row>
    <row r="80" spans="1:23" ht="12.75" customHeight="1">
      <c r="A80" s="43"/>
      <c r="B80" s="43"/>
      <c r="C80" s="36"/>
      <c r="D80" s="88"/>
      <c r="E80" s="157"/>
      <c r="F80" s="87"/>
      <c r="I80" s="159"/>
      <c r="L80" s="157"/>
      <c r="M80" s="36"/>
      <c r="O80" s="157"/>
      <c r="P80" s="4"/>
      <c r="Q80" s="6"/>
      <c r="R80" s="6"/>
      <c r="S80" s="6"/>
      <c r="T80" s="109"/>
      <c r="U80" s="109"/>
      <c r="V80" s="109"/>
      <c r="W80" s="109"/>
    </row>
    <row r="81" spans="1:19" ht="12.75">
      <c r="A81" s="43"/>
      <c r="B81" s="43"/>
      <c r="C81" s="36"/>
      <c r="D81" s="88"/>
      <c r="E81" s="157"/>
      <c r="F81" s="87"/>
      <c r="I81" s="159"/>
      <c r="L81" s="157"/>
      <c r="M81" s="36"/>
      <c r="O81" s="157"/>
      <c r="P81" s="38"/>
      <c r="Q81" s="4"/>
      <c r="R81" s="6"/>
      <c r="S81" s="6"/>
    </row>
    <row r="82" spans="1:19" ht="12.75" customHeight="1">
      <c r="A82" s="36"/>
      <c r="B82" s="36"/>
      <c r="C82" s="36"/>
      <c r="D82" s="88"/>
      <c r="E82" s="157"/>
      <c r="F82" s="46"/>
      <c r="I82" s="159"/>
      <c r="L82" s="157"/>
      <c r="M82" s="36"/>
      <c r="O82" s="157"/>
      <c r="P82" s="38"/>
      <c r="Q82" s="4"/>
      <c r="R82" s="6"/>
      <c r="S82" s="6"/>
    </row>
    <row r="83" spans="1:23" ht="12.75" customHeight="1">
      <c r="A83" s="36"/>
      <c r="B83" s="36"/>
      <c r="C83" s="36"/>
      <c r="D83" s="88"/>
      <c r="E83" s="157"/>
      <c r="F83" s="36"/>
      <c r="I83" s="159"/>
      <c r="L83" s="157"/>
      <c r="M83" s="36"/>
      <c r="O83" s="157"/>
      <c r="P83" s="4"/>
      <c r="Q83" s="6"/>
      <c r="R83" s="6"/>
      <c r="S83" s="6"/>
      <c r="T83" s="109"/>
      <c r="U83" s="109"/>
      <c r="V83" s="109"/>
      <c r="W83" s="109"/>
    </row>
    <row r="84" spans="1:23" ht="12.75" customHeight="1">
      <c r="A84" s="36"/>
      <c r="B84" s="36"/>
      <c r="C84" s="36"/>
      <c r="D84" s="88"/>
      <c r="E84" s="157"/>
      <c r="F84" s="36"/>
      <c r="I84" s="159"/>
      <c r="L84" s="157"/>
      <c r="M84" s="36"/>
      <c r="O84" s="157"/>
      <c r="P84" s="4"/>
      <c r="Q84" s="4"/>
      <c r="R84" s="4"/>
      <c r="T84" s="109"/>
      <c r="U84" s="109"/>
      <c r="V84" s="109"/>
      <c r="W84" s="109"/>
    </row>
    <row r="85" spans="1:23" ht="12.75" customHeight="1">
      <c r="A85" s="46"/>
      <c r="B85" s="46"/>
      <c r="C85" s="36"/>
      <c r="D85" s="88"/>
      <c r="E85" s="157"/>
      <c r="F85" s="36"/>
      <c r="I85" s="159"/>
      <c r="L85" s="157"/>
      <c r="M85" s="36"/>
      <c r="O85" s="157"/>
      <c r="P85" s="4"/>
      <c r="Q85" s="4"/>
      <c r="R85" s="4"/>
      <c r="T85" s="109"/>
      <c r="U85" s="109"/>
      <c r="V85" s="109"/>
      <c r="W85" s="109"/>
    </row>
    <row r="86" spans="1:23" ht="12.75" customHeight="1">
      <c r="A86" s="46"/>
      <c r="B86" s="46"/>
      <c r="C86" s="36"/>
      <c r="D86" s="88"/>
      <c r="E86" s="157"/>
      <c r="F86" s="36"/>
      <c r="I86" s="159"/>
      <c r="L86" s="157"/>
      <c r="M86" s="36"/>
      <c r="O86" s="157"/>
      <c r="P86" s="4"/>
      <c r="Q86" s="4"/>
      <c r="R86" s="4"/>
      <c r="T86" s="109"/>
      <c r="U86" s="109"/>
      <c r="V86" s="109"/>
      <c r="W86" s="109"/>
    </row>
    <row r="87" spans="1:19" ht="12.75">
      <c r="A87" s="63"/>
      <c r="B87" s="63"/>
      <c r="C87" s="36"/>
      <c r="D87" s="88"/>
      <c r="E87" s="157"/>
      <c r="F87" s="36"/>
      <c r="I87" s="159"/>
      <c r="L87" s="157"/>
      <c r="M87" s="36"/>
      <c r="O87" s="157"/>
      <c r="R87" s="5"/>
      <c r="S87" s="6"/>
    </row>
    <row r="88" spans="1:61" s="6" customFormat="1" ht="12.75" customHeight="1">
      <c r="A88" s="87"/>
      <c r="B88" s="87"/>
      <c r="C88" s="36"/>
      <c r="D88" s="88"/>
      <c r="E88" s="157"/>
      <c r="F88" s="36"/>
      <c r="G88" s="4"/>
      <c r="H88" s="4"/>
      <c r="I88" s="159"/>
      <c r="K88" s="5"/>
      <c r="L88" s="157"/>
      <c r="M88" s="36"/>
      <c r="N88" s="5"/>
      <c r="O88" s="157"/>
      <c r="P88" s="5"/>
      <c r="Q88" s="5"/>
      <c r="R88" s="5"/>
      <c r="T88" s="4"/>
      <c r="U88" s="4"/>
      <c r="V88" s="4"/>
      <c r="W88" s="4"/>
      <c r="X88" s="4"/>
      <c r="Y88" s="4"/>
      <c r="Z88" s="4"/>
      <c r="AA88" s="4"/>
      <c r="AB88" s="36"/>
      <c r="AC88" s="36"/>
      <c r="AD88" s="36"/>
      <c r="AE88" s="36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1:19" ht="12.75" customHeight="1">
      <c r="A89" s="87"/>
      <c r="B89" s="87"/>
      <c r="C89" s="36"/>
      <c r="D89" s="88"/>
      <c r="E89" s="157"/>
      <c r="F89" s="36"/>
      <c r="I89" s="159"/>
      <c r="L89" s="157"/>
      <c r="M89" s="36"/>
      <c r="O89" s="157"/>
      <c r="R89" s="5"/>
      <c r="S89" s="6"/>
    </row>
    <row r="90" spans="1:18" ht="12.75" customHeight="1">
      <c r="A90" s="87"/>
      <c r="B90" s="87"/>
      <c r="C90" s="36"/>
      <c r="D90" s="88"/>
      <c r="E90" s="157"/>
      <c r="F90" s="36"/>
      <c r="I90" s="159"/>
      <c r="L90" s="157"/>
      <c r="M90" s="36"/>
      <c r="O90" s="157"/>
      <c r="R90" s="5"/>
    </row>
    <row r="91" spans="1:18" ht="12.75" customHeight="1">
      <c r="A91" s="88"/>
      <c r="B91" s="88"/>
      <c r="C91" s="36"/>
      <c r="D91" s="88"/>
      <c r="E91" s="157"/>
      <c r="F91" s="36"/>
      <c r="I91" s="159"/>
      <c r="L91" s="157"/>
      <c r="M91" s="36"/>
      <c r="O91" s="157"/>
      <c r="R91" s="5"/>
    </row>
    <row r="92" spans="1:62" s="36" customFormat="1" ht="27" customHeight="1">
      <c r="A92" s="87"/>
      <c r="B92" s="87"/>
      <c r="D92" s="88"/>
      <c r="E92" s="157"/>
      <c r="F92" s="87"/>
      <c r="G92" s="4"/>
      <c r="H92" s="4"/>
      <c r="I92" s="159"/>
      <c r="K92" s="5"/>
      <c r="L92" s="157"/>
      <c r="N92" s="5"/>
      <c r="O92" s="157"/>
      <c r="P92" s="34"/>
      <c r="Q92" s="34"/>
      <c r="R92" s="34"/>
      <c r="T92" s="27"/>
      <c r="U92" s="27"/>
      <c r="V92" s="27"/>
      <c r="W92" s="27"/>
      <c r="X92" s="27"/>
      <c r="Y92" s="27"/>
      <c r="Z92" s="27"/>
      <c r="AA92" s="27"/>
      <c r="BJ92" s="4"/>
    </row>
    <row r="93" spans="1:62" s="36" customFormat="1" ht="12.75">
      <c r="A93" s="89"/>
      <c r="B93" s="89"/>
      <c r="D93" s="88"/>
      <c r="E93" s="157"/>
      <c r="F93" s="87"/>
      <c r="G93" s="4"/>
      <c r="H93" s="4"/>
      <c r="I93" s="159"/>
      <c r="K93" s="5"/>
      <c r="L93" s="157"/>
      <c r="N93" s="5"/>
      <c r="O93" s="157"/>
      <c r="P93" s="34"/>
      <c r="Q93" s="34"/>
      <c r="R93" s="34"/>
      <c r="BJ93" s="4"/>
    </row>
    <row r="94" spans="1:62" s="36" customFormat="1" ht="12.75">
      <c r="A94" s="89"/>
      <c r="B94" s="89"/>
      <c r="D94" s="87"/>
      <c r="F94" s="87"/>
      <c r="K94" s="5"/>
      <c r="L94" s="157"/>
      <c r="N94" s="5"/>
      <c r="O94" s="157"/>
      <c r="P94" s="34"/>
      <c r="Q94" s="34"/>
      <c r="R94" s="34"/>
      <c r="BJ94" s="4"/>
    </row>
    <row r="95" spans="1:62" s="36" customFormat="1" ht="12.75">
      <c r="A95" s="87"/>
      <c r="B95" s="87"/>
      <c r="D95" s="88"/>
      <c r="F95" s="88"/>
      <c r="K95" s="5"/>
      <c r="L95" s="157"/>
      <c r="N95" s="5"/>
      <c r="O95" s="157"/>
      <c r="BJ95" s="4"/>
    </row>
    <row r="96" spans="1:62" s="36" customFormat="1" ht="12.75">
      <c r="A96" s="87"/>
      <c r="B96" s="87"/>
      <c r="D96" s="88"/>
      <c r="E96" s="42"/>
      <c r="F96" s="87"/>
      <c r="K96" s="5"/>
      <c r="L96" s="157"/>
      <c r="N96" s="5"/>
      <c r="O96" s="157"/>
      <c r="S96" s="27"/>
      <c r="BJ96" s="4"/>
    </row>
    <row r="97" spans="1:62" s="36" customFormat="1" ht="39.75" customHeight="1">
      <c r="A97" s="87"/>
      <c r="B97" s="87"/>
      <c r="D97" s="87"/>
      <c r="E97" s="42"/>
      <c r="F97" s="89"/>
      <c r="K97" s="5"/>
      <c r="L97" s="157"/>
      <c r="N97" s="5"/>
      <c r="O97" s="157"/>
      <c r="S97" s="27"/>
      <c r="AB97" s="91"/>
      <c r="AC97" s="91"/>
      <c r="AD97" s="91"/>
      <c r="AE97" s="91"/>
      <c r="BJ97" s="4"/>
    </row>
    <row r="98" spans="1:62" s="36" customFormat="1" ht="32.25" customHeight="1">
      <c r="A98" s="87"/>
      <c r="B98" s="87"/>
      <c r="D98" s="89"/>
      <c r="E98" s="42"/>
      <c r="F98" s="89"/>
      <c r="K98" s="5"/>
      <c r="L98" s="157"/>
      <c r="M98" s="42"/>
      <c r="N98" s="5"/>
      <c r="O98" s="157"/>
      <c r="S98" s="27"/>
      <c r="BJ98" s="4"/>
    </row>
    <row r="99" spans="1:62" s="36" customFormat="1" ht="12.75">
      <c r="A99" s="87"/>
      <c r="B99" s="87"/>
      <c r="D99" s="89"/>
      <c r="E99" s="42"/>
      <c r="F99" s="87"/>
      <c r="K99" s="5"/>
      <c r="L99" s="157"/>
      <c r="M99" s="42"/>
      <c r="N99" s="5"/>
      <c r="O99" s="157"/>
      <c r="S99" s="27"/>
      <c r="BJ99" s="4"/>
    </row>
    <row r="100" spans="1:62" s="36" customFormat="1" ht="12.75">
      <c r="A100" s="87"/>
      <c r="B100" s="87"/>
      <c r="C100" s="42"/>
      <c r="D100" s="87"/>
      <c r="E100" s="42"/>
      <c r="F100" s="87"/>
      <c r="K100" s="5"/>
      <c r="L100" s="157"/>
      <c r="M100" s="42"/>
      <c r="N100" s="5"/>
      <c r="O100" s="157"/>
      <c r="S100" s="27"/>
      <c r="BJ100" s="4"/>
    </row>
    <row r="101" spans="1:62" s="36" customFormat="1" ht="12.75">
      <c r="A101" s="43"/>
      <c r="B101" s="43"/>
      <c r="C101" s="42"/>
      <c r="D101" s="87"/>
      <c r="E101" s="42"/>
      <c r="F101" s="87"/>
      <c r="K101" s="5"/>
      <c r="L101" s="157"/>
      <c r="M101" s="42"/>
      <c r="N101" s="5"/>
      <c r="O101" s="157"/>
      <c r="S101" s="27"/>
      <c r="BJ101" s="4"/>
    </row>
    <row r="102" spans="1:62" s="36" customFormat="1" ht="12.75">
      <c r="A102" s="43"/>
      <c r="B102" s="43"/>
      <c r="C102" s="42"/>
      <c r="D102" s="87"/>
      <c r="E102" s="42"/>
      <c r="F102" s="87"/>
      <c r="K102" s="5"/>
      <c r="L102" s="157"/>
      <c r="M102" s="42"/>
      <c r="N102" s="5"/>
      <c r="O102" s="157"/>
      <c r="S102" s="27"/>
      <c r="BJ102" s="4"/>
    </row>
    <row r="103" spans="3:62" s="36" customFormat="1" ht="12.75">
      <c r="C103" s="42"/>
      <c r="D103" s="87"/>
      <c r="E103" s="42"/>
      <c r="F103" s="87"/>
      <c r="K103" s="90"/>
      <c r="L103" s="157"/>
      <c r="M103" s="42"/>
      <c r="N103" s="90"/>
      <c r="O103" s="158"/>
      <c r="S103" s="27"/>
      <c r="BJ103" s="4"/>
    </row>
    <row r="104" spans="1:27" ht="12.75">
      <c r="A104" s="36"/>
      <c r="B104" s="36"/>
      <c r="C104" s="42"/>
      <c r="D104" s="87"/>
      <c r="E104" s="42"/>
      <c r="F104" s="87"/>
      <c r="G104" s="42"/>
      <c r="H104" s="42"/>
      <c r="I104" s="42"/>
      <c r="J104" s="42"/>
      <c r="K104" s="42"/>
      <c r="L104" s="87"/>
      <c r="M104" s="42"/>
      <c r="N104" s="87"/>
      <c r="O104" s="27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12.75">
      <c r="A105" s="36"/>
      <c r="B105" s="36"/>
      <c r="C105" s="42"/>
      <c r="D105" s="87"/>
      <c r="E105" s="42"/>
      <c r="F105" s="36"/>
      <c r="G105" s="42"/>
      <c r="H105" s="42"/>
      <c r="I105" s="42"/>
      <c r="J105" s="42"/>
      <c r="K105" s="42"/>
      <c r="L105" s="36"/>
      <c r="M105" s="42"/>
      <c r="N105" s="87"/>
      <c r="O105" s="27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12.75">
      <c r="A106" s="46"/>
      <c r="B106" s="46"/>
      <c r="C106" s="42"/>
      <c r="D106" s="46"/>
      <c r="E106" s="42"/>
      <c r="F106" s="36"/>
      <c r="G106" s="42"/>
      <c r="H106" s="42"/>
      <c r="I106" s="42"/>
      <c r="J106" s="42"/>
      <c r="K106" s="42"/>
      <c r="L106" s="36"/>
      <c r="M106" s="42"/>
      <c r="N106" s="87"/>
      <c r="O106" s="42"/>
      <c r="P106" s="36"/>
      <c r="Q106" s="36"/>
      <c r="R106" s="36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ht="12.75">
      <c r="A107" s="46"/>
      <c r="B107" s="46"/>
      <c r="C107" s="42"/>
      <c r="D107" s="36"/>
      <c r="E107" s="42"/>
      <c r="F107" s="36"/>
      <c r="G107" s="42"/>
      <c r="H107" s="42"/>
      <c r="I107" s="42"/>
      <c r="J107" s="42"/>
      <c r="K107" s="42"/>
      <c r="L107" s="36"/>
      <c r="M107" s="42"/>
      <c r="N107" s="87"/>
      <c r="O107" s="27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12.75" customHeight="1">
      <c r="A108" s="36"/>
      <c r="B108" s="36"/>
      <c r="C108" s="42"/>
      <c r="D108" s="36"/>
      <c r="E108" s="42"/>
      <c r="F108" s="36"/>
      <c r="G108" s="42"/>
      <c r="H108" s="42"/>
      <c r="I108" s="42"/>
      <c r="J108" s="42"/>
      <c r="K108" s="42"/>
      <c r="L108" s="36"/>
      <c r="M108" s="42"/>
      <c r="N108" s="87"/>
      <c r="O108" s="27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12.75">
      <c r="A109" s="87"/>
      <c r="B109" s="87"/>
      <c r="C109" s="42"/>
      <c r="D109" s="36"/>
      <c r="E109" s="42"/>
      <c r="F109" s="36"/>
      <c r="G109" s="42"/>
      <c r="H109" s="42"/>
      <c r="I109" s="42"/>
      <c r="J109" s="42"/>
      <c r="K109" s="42"/>
      <c r="L109" s="36"/>
      <c r="M109" s="42"/>
      <c r="N109" s="36"/>
      <c r="O109" s="27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12.75">
      <c r="A110" s="87"/>
      <c r="B110" s="87"/>
      <c r="C110" s="42"/>
      <c r="D110" s="36"/>
      <c r="E110" s="42"/>
      <c r="F110" s="36"/>
      <c r="G110" s="42"/>
      <c r="H110" s="42"/>
      <c r="I110" s="42"/>
      <c r="J110" s="42"/>
      <c r="K110" s="42"/>
      <c r="L110" s="36"/>
      <c r="M110" s="42"/>
      <c r="N110" s="36"/>
      <c r="O110" s="27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s="27" customFormat="1" ht="12.75">
      <c r="A111" s="87"/>
      <c r="B111" s="87"/>
      <c r="C111" s="42"/>
      <c r="D111" s="36"/>
      <c r="E111" s="42"/>
      <c r="F111" s="36"/>
      <c r="G111" s="42"/>
      <c r="H111" s="42"/>
      <c r="I111" s="42"/>
      <c r="J111" s="42"/>
      <c r="K111" s="42"/>
      <c r="L111" s="36"/>
      <c r="M111" s="42"/>
      <c r="N111" s="42"/>
      <c r="O111" s="3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12.75">
      <c r="A112" s="88"/>
      <c r="B112" s="88"/>
      <c r="C112" s="34"/>
      <c r="D112" s="36"/>
      <c r="E112" s="42"/>
      <c r="F112" s="42"/>
      <c r="G112" s="42"/>
      <c r="H112" s="42"/>
      <c r="I112" s="42"/>
      <c r="J112" s="42"/>
      <c r="K112" s="42"/>
      <c r="L112" s="42"/>
      <c r="M112" s="42"/>
      <c r="N112" s="35"/>
      <c r="O112" s="3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12.75" customHeight="1">
      <c r="A113" s="88"/>
      <c r="B113" s="88"/>
      <c r="C113" s="36"/>
      <c r="D113" s="87"/>
      <c r="E113" s="42"/>
      <c r="F113" s="87"/>
      <c r="G113" s="42"/>
      <c r="H113" s="42"/>
      <c r="I113" s="42"/>
      <c r="J113" s="42"/>
      <c r="K113" s="42"/>
      <c r="L113" s="87"/>
      <c r="M113" s="42"/>
      <c r="N113" s="87"/>
      <c r="O113" s="3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42.75" customHeight="1">
      <c r="A114" s="87"/>
      <c r="B114" s="87"/>
      <c r="C114" s="36"/>
      <c r="D114" s="87"/>
      <c r="E114" s="42"/>
      <c r="F114" s="87"/>
      <c r="G114" s="42"/>
      <c r="H114" s="42"/>
      <c r="I114" s="42"/>
      <c r="J114" s="42"/>
      <c r="K114" s="42"/>
      <c r="L114" s="87"/>
      <c r="M114" s="42"/>
      <c r="N114" s="87"/>
      <c r="O114" s="3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12.75">
      <c r="A115" s="89"/>
      <c r="B115" s="89"/>
      <c r="C115" s="42"/>
      <c r="D115" s="87"/>
      <c r="E115" s="42"/>
      <c r="F115" s="87"/>
      <c r="G115" s="42"/>
      <c r="H115" s="42"/>
      <c r="I115" s="42"/>
      <c r="J115" s="42"/>
      <c r="K115" s="42"/>
      <c r="L115" s="87"/>
      <c r="M115" s="42"/>
      <c r="N115" s="87"/>
      <c r="O115" s="3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12.75">
      <c r="A116" s="87"/>
      <c r="B116" s="87"/>
      <c r="C116" s="42"/>
      <c r="D116" s="88"/>
      <c r="E116" s="42"/>
      <c r="F116" s="88"/>
      <c r="G116" s="42"/>
      <c r="H116" s="42"/>
      <c r="I116" s="36"/>
      <c r="J116" s="36"/>
      <c r="K116" s="36"/>
      <c r="L116" s="88"/>
      <c r="M116" s="42"/>
      <c r="N116" s="88"/>
      <c r="O116" s="3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12.75">
      <c r="A117" s="87"/>
      <c r="B117" s="87"/>
      <c r="C117" s="42"/>
      <c r="D117" s="88"/>
      <c r="E117" s="42"/>
      <c r="F117" s="88"/>
      <c r="G117" s="42"/>
      <c r="H117" s="42"/>
      <c r="I117" s="36"/>
      <c r="J117" s="36"/>
      <c r="K117" s="36"/>
      <c r="L117" s="88"/>
      <c r="M117" s="42"/>
      <c r="N117" s="88"/>
      <c r="O117" s="3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12.75">
      <c r="A118" s="87"/>
      <c r="B118" s="87"/>
      <c r="C118" s="42"/>
      <c r="D118" s="87"/>
      <c r="E118" s="42"/>
      <c r="F118" s="87"/>
      <c r="G118" s="42"/>
      <c r="H118" s="42"/>
      <c r="I118" s="36"/>
      <c r="J118" s="36"/>
      <c r="K118" s="36"/>
      <c r="L118" s="87"/>
      <c r="M118" s="34"/>
      <c r="N118" s="87"/>
      <c r="O118" s="3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12.75">
      <c r="A119" s="87"/>
      <c r="B119" s="87"/>
      <c r="C119" s="42"/>
      <c r="D119" s="89"/>
      <c r="E119" s="42"/>
      <c r="F119" s="89"/>
      <c r="G119" s="42"/>
      <c r="H119" s="42"/>
      <c r="I119" s="36"/>
      <c r="J119" s="36"/>
      <c r="K119" s="36"/>
      <c r="L119" s="89"/>
      <c r="M119" s="34"/>
      <c r="N119" s="89"/>
      <c r="O119" s="3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62" s="36" customFormat="1" ht="12.75">
      <c r="A120" s="87"/>
      <c r="B120" s="87"/>
      <c r="C120" s="42"/>
      <c r="D120" s="87"/>
      <c r="F120" s="89"/>
      <c r="G120" s="42"/>
      <c r="H120" s="42"/>
      <c r="L120" s="89"/>
      <c r="M120" s="34"/>
      <c r="N120" s="89"/>
      <c r="O120" s="34"/>
      <c r="BJ120" s="4"/>
    </row>
    <row r="121" spans="1:62" s="36" customFormat="1" ht="12.75">
      <c r="A121" s="87"/>
      <c r="B121" s="87"/>
      <c r="C121" s="42"/>
      <c r="D121" s="87"/>
      <c r="F121" s="87"/>
      <c r="G121" s="42"/>
      <c r="H121" s="42"/>
      <c r="L121" s="87"/>
      <c r="M121" s="34"/>
      <c r="N121" s="87"/>
      <c r="O121" s="34"/>
      <c r="BJ121" s="4"/>
    </row>
    <row r="122" spans="1:62" s="36" customFormat="1" ht="12.75">
      <c r="A122" s="43"/>
      <c r="B122" s="43"/>
      <c r="C122" s="42"/>
      <c r="D122" s="87"/>
      <c r="F122" s="87"/>
      <c r="G122" s="42"/>
      <c r="H122" s="42"/>
      <c r="L122" s="87"/>
      <c r="M122" s="34"/>
      <c r="N122" s="87"/>
      <c r="O122" s="27"/>
      <c r="BJ122" s="4"/>
    </row>
    <row r="123" spans="1:62" s="36" customFormat="1" ht="12.75">
      <c r="A123" s="43"/>
      <c r="B123" s="43"/>
      <c r="C123" s="42"/>
      <c r="D123" s="87"/>
      <c r="F123" s="87"/>
      <c r="L123" s="87"/>
      <c r="M123" s="34"/>
      <c r="N123" s="87"/>
      <c r="O123" s="27"/>
      <c r="BJ123" s="4"/>
    </row>
    <row r="124" spans="1:62" s="36" customFormat="1" ht="12.75">
      <c r="A124" s="88"/>
      <c r="B124" s="88"/>
      <c r="C124" s="42"/>
      <c r="D124" s="87"/>
      <c r="F124" s="87"/>
      <c r="L124" s="87"/>
      <c r="M124" s="34"/>
      <c r="N124" s="87"/>
      <c r="O124" s="34"/>
      <c r="BJ124" s="4"/>
    </row>
    <row r="125" spans="1:62" s="36" customFormat="1" ht="12.75">
      <c r="A125" s="88"/>
      <c r="B125" s="88"/>
      <c r="C125" s="42"/>
      <c r="D125" s="87"/>
      <c r="F125" s="87"/>
      <c r="L125" s="87"/>
      <c r="M125" s="34"/>
      <c r="N125" s="87"/>
      <c r="O125" s="34"/>
      <c r="BJ125" s="4"/>
    </row>
    <row r="126" spans="3:62" s="36" customFormat="1" ht="12.75">
      <c r="C126" s="42"/>
      <c r="D126" s="46"/>
      <c r="M126" s="34"/>
      <c r="O126" s="34"/>
      <c r="BJ126" s="4"/>
    </row>
    <row r="127" spans="1:62" s="36" customFormat="1" ht="12.75">
      <c r="A127" s="46"/>
      <c r="B127" s="46"/>
      <c r="C127" s="42"/>
      <c r="D127" s="46"/>
      <c r="M127" s="34"/>
      <c r="O127" s="42"/>
      <c r="P127" s="27"/>
      <c r="Q127" s="27"/>
      <c r="R127" s="27"/>
      <c r="BJ127" s="4"/>
    </row>
    <row r="128" spans="1:62" s="36" customFormat="1" ht="12.75">
      <c r="A128" s="46"/>
      <c r="B128" s="46"/>
      <c r="C128" s="42"/>
      <c r="D128" s="88"/>
      <c r="F128" s="27"/>
      <c r="G128" s="42"/>
      <c r="H128" s="42"/>
      <c r="I128" s="34"/>
      <c r="J128" s="34"/>
      <c r="K128" s="34"/>
      <c r="M128" s="34"/>
      <c r="O128" s="42"/>
      <c r="P128" s="27"/>
      <c r="Q128" s="27"/>
      <c r="R128" s="27"/>
      <c r="BJ128" s="4"/>
    </row>
    <row r="129" spans="3:62" s="36" customFormat="1" ht="12.75">
      <c r="C129" s="42"/>
      <c r="D129" s="88"/>
      <c r="G129" s="42"/>
      <c r="H129" s="42"/>
      <c r="I129" s="34"/>
      <c r="J129" s="34"/>
      <c r="K129" s="34"/>
      <c r="L129" s="27"/>
      <c r="M129" s="34"/>
      <c r="O129" s="42"/>
      <c r="P129" s="27"/>
      <c r="Q129" s="27"/>
      <c r="R129" s="27"/>
      <c r="BJ129" s="4"/>
    </row>
    <row r="130" spans="3:62" s="36" customFormat="1" ht="12.75">
      <c r="C130" s="42"/>
      <c r="F130" s="42"/>
      <c r="G130" s="42"/>
      <c r="H130" s="42"/>
      <c r="I130" s="34"/>
      <c r="J130" s="34"/>
      <c r="K130" s="34"/>
      <c r="M130" s="34"/>
      <c r="O130" s="42"/>
      <c r="P130" s="27"/>
      <c r="Q130" s="27"/>
      <c r="R130" s="27"/>
      <c r="BJ130" s="4"/>
    </row>
    <row r="131" spans="3:62" s="36" customFormat="1" ht="12.75">
      <c r="C131" s="42"/>
      <c r="G131" s="42"/>
      <c r="H131" s="42"/>
      <c r="I131" s="34"/>
      <c r="J131" s="34"/>
      <c r="K131" s="34"/>
      <c r="L131" s="42"/>
      <c r="M131" s="34"/>
      <c r="O131" s="42"/>
      <c r="P131" s="27"/>
      <c r="Q131" s="27"/>
      <c r="R131" s="27"/>
      <c r="BJ131" s="4"/>
    </row>
    <row r="132" spans="3:62" s="36" customFormat="1" ht="12.75">
      <c r="C132" s="42"/>
      <c r="G132" s="42"/>
      <c r="H132" s="42"/>
      <c r="I132" s="34"/>
      <c r="J132" s="34"/>
      <c r="K132" s="34"/>
      <c r="M132" s="34"/>
      <c r="N132" s="35"/>
      <c r="O132" s="42"/>
      <c r="P132" s="27"/>
      <c r="Q132" s="27"/>
      <c r="R132" s="27"/>
      <c r="BJ132" s="4"/>
    </row>
    <row r="133" spans="3:62" s="36" customFormat="1" ht="12.75">
      <c r="C133" s="42"/>
      <c r="I133" s="34"/>
      <c r="J133" s="34"/>
      <c r="K133" s="34"/>
      <c r="M133" s="34"/>
      <c r="N133" s="27"/>
      <c r="O133" s="42"/>
      <c r="P133" s="27"/>
      <c r="Q133" s="27"/>
      <c r="R133" s="27"/>
      <c r="BJ133" s="4"/>
    </row>
    <row r="134" spans="3:62" s="36" customFormat="1" ht="12.75">
      <c r="C134" s="42"/>
      <c r="I134" s="34"/>
      <c r="J134" s="34"/>
      <c r="K134" s="34"/>
      <c r="M134" s="34"/>
      <c r="N134" s="35"/>
      <c r="O134" s="42"/>
      <c r="P134" s="27"/>
      <c r="Q134" s="27"/>
      <c r="R134" s="27"/>
      <c r="BJ134" s="4"/>
    </row>
    <row r="135" spans="3:62" s="36" customFormat="1" ht="12.75">
      <c r="C135" s="42"/>
      <c r="D135" s="27"/>
      <c r="I135" s="34"/>
      <c r="J135" s="34"/>
      <c r="K135" s="34"/>
      <c r="M135" s="34"/>
      <c r="N135" s="42"/>
      <c r="O135" s="42"/>
      <c r="P135" s="27"/>
      <c r="Q135" s="27"/>
      <c r="R135" s="27"/>
      <c r="BJ135" s="4"/>
    </row>
    <row r="136" spans="1:27" ht="12.75">
      <c r="A136" s="27"/>
      <c r="B136" s="27"/>
      <c r="C136" s="42"/>
      <c r="D136" s="36"/>
      <c r="E136" s="36"/>
      <c r="F136" s="36"/>
      <c r="G136" s="36"/>
      <c r="H136" s="36"/>
      <c r="I136" s="34"/>
      <c r="J136" s="34"/>
      <c r="K136" s="34"/>
      <c r="L136" s="36"/>
      <c r="M136" s="34"/>
      <c r="N136" s="36"/>
      <c r="O136" s="42"/>
      <c r="P136" s="92"/>
      <c r="Q136" s="92"/>
      <c r="R136" s="92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12.75">
      <c r="A137" s="36"/>
      <c r="B137" s="36"/>
      <c r="C137" s="36"/>
      <c r="D137" s="42"/>
      <c r="E137" s="36"/>
      <c r="F137" s="36"/>
      <c r="G137" s="36"/>
      <c r="H137" s="36"/>
      <c r="I137" s="34"/>
      <c r="J137" s="34"/>
      <c r="K137" s="34"/>
      <c r="L137" s="36"/>
      <c r="M137" s="34"/>
      <c r="N137" s="36"/>
      <c r="O137" s="42"/>
      <c r="P137" s="27"/>
      <c r="Q137" s="27"/>
      <c r="R137" s="27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12.75">
      <c r="A138" s="42"/>
      <c r="B138" s="42"/>
      <c r="C138" s="36"/>
      <c r="D138" s="44"/>
      <c r="E138" s="36"/>
      <c r="F138" s="36"/>
      <c r="G138" s="36"/>
      <c r="H138" s="36"/>
      <c r="I138" s="34"/>
      <c r="J138" s="34"/>
      <c r="K138" s="34"/>
      <c r="L138" s="36"/>
      <c r="M138" s="34"/>
      <c r="N138" s="36"/>
      <c r="O138" s="92"/>
      <c r="P138" s="27"/>
      <c r="Q138" s="27"/>
      <c r="R138" s="27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12.75">
      <c r="A139" s="44"/>
      <c r="B139" s="44"/>
      <c r="C139" s="36"/>
      <c r="D139" s="45"/>
      <c r="E139" s="36"/>
      <c r="F139" s="36"/>
      <c r="G139" s="36"/>
      <c r="H139" s="36"/>
      <c r="I139" s="34"/>
      <c r="J139" s="34"/>
      <c r="K139" s="34"/>
      <c r="L139" s="36"/>
      <c r="M139" s="34"/>
      <c r="N139" s="36"/>
      <c r="O139" s="92"/>
      <c r="P139" s="27"/>
      <c r="Q139" s="27"/>
      <c r="R139" s="27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12.75">
      <c r="A140" s="45"/>
      <c r="B140" s="45"/>
      <c r="C140" s="36"/>
      <c r="D140" s="45"/>
      <c r="E140" s="36"/>
      <c r="F140" s="36"/>
      <c r="G140" s="36"/>
      <c r="H140" s="36"/>
      <c r="I140" s="34"/>
      <c r="J140" s="34"/>
      <c r="K140" s="34"/>
      <c r="L140" s="36"/>
      <c r="M140" s="34"/>
      <c r="N140" s="36"/>
      <c r="O140" s="92"/>
      <c r="P140" s="27"/>
      <c r="Q140" s="27"/>
      <c r="R140" s="27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12.75">
      <c r="A141" s="45"/>
      <c r="B141" s="45"/>
      <c r="C141" s="36"/>
      <c r="D141" s="45"/>
      <c r="E141" s="36"/>
      <c r="F141" s="36"/>
      <c r="G141" s="36"/>
      <c r="H141" s="36"/>
      <c r="I141" s="34"/>
      <c r="J141" s="34"/>
      <c r="K141" s="34"/>
      <c r="L141" s="36"/>
      <c r="M141" s="34"/>
      <c r="N141" s="36"/>
      <c r="O141" s="92"/>
      <c r="P141" s="27"/>
      <c r="Q141" s="27"/>
      <c r="R141" s="27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12.75">
      <c r="A142" s="45"/>
      <c r="B142" s="45"/>
      <c r="C142" s="36"/>
      <c r="D142" s="43"/>
      <c r="E142" s="36"/>
      <c r="F142" s="36"/>
      <c r="G142" s="36"/>
      <c r="H142" s="36"/>
      <c r="I142" s="34"/>
      <c r="J142" s="34"/>
      <c r="K142" s="34"/>
      <c r="L142" s="36"/>
      <c r="M142" s="34"/>
      <c r="N142" s="35"/>
      <c r="O142" s="92"/>
      <c r="P142" s="27"/>
      <c r="Q142" s="27"/>
      <c r="R142" s="27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12.75">
      <c r="A143" s="43"/>
      <c r="B143" s="43"/>
      <c r="C143" s="36"/>
      <c r="D143" s="43"/>
      <c r="E143" s="36"/>
      <c r="F143" s="36"/>
      <c r="G143" s="36"/>
      <c r="H143" s="36"/>
      <c r="I143" s="34"/>
      <c r="J143" s="34"/>
      <c r="K143" s="34"/>
      <c r="L143" s="36"/>
      <c r="M143" s="34"/>
      <c r="N143" s="35"/>
      <c r="O143" s="92"/>
      <c r="P143" s="43"/>
      <c r="Q143" s="27"/>
      <c r="R143" s="27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12.75">
      <c r="A144" s="43"/>
      <c r="B144" s="43"/>
      <c r="C144" s="36"/>
      <c r="D144" s="43"/>
      <c r="E144" s="36"/>
      <c r="F144" s="36"/>
      <c r="G144" s="36"/>
      <c r="H144" s="36"/>
      <c r="I144" s="34"/>
      <c r="J144" s="34"/>
      <c r="K144" s="34"/>
      <c r="L144" s="36"/>
      <c r="M144" s="34"/>
      <c r="N144" s="35"/>
      <c r="O144" s="92"/>
      <c r="P144" s="43"/>
      <c r="Q144" s="27"/>
      <c r="R144" s="27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12.75">
      <c r="A145" s="43"/>
      <c r="B145" s="43"/>
      <c r="C145" s="36"/>
      <c r="D145" s="43"/>
      <c r="E145" s="36"/>
      <c r="F145" s="36"/>
      <c r="G145" s="36"/>
      <c r="H145" s="36"/>
      <c r="I145" s="34"/>
      <c r="J145" s="34"/>
      <c r="K145" s="34"/>
      <c r="L145" s="36"/>
      <c r="M145" s="34"/>
      <c r="N145" s="35"/>
      <c r="O145" s="42"/>
      <c r="P145" s="46"/>
      <c r="Q145" s="27"/>
      <c r="R145" s="27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12.75">
      <c r="A146" s="43"/>
      <c r="B146" s="43"/>
      <c r="C146" s="36"/>
      <c r="D146" s="43"/>
      <c r="E146" s="36"/>
      <c r="F146" s="36"/>
      <c r="G146" s="36"/>
      <c r="H146" s="36"/>
      <c r="I146" s="34"/>
      <c r="J146" s="34"/>
      <c r="K146" s="34"/>
      <c r="L146" s="36"/>
      <c r="M146" s="34"/>
      <c r="N146" s="35"/>
      <c r="O146" s="42"/>
      <c r="P146" s="46"/>
      <c r="Q146" s="27"/>
      <c r="R146" s="27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12.75">
      <c r="A147" s="43"/>
      <c r="B147" s="43"/>
      <c r="C147" s="36"/>
      <c r="D147" s="43"/>
      <c r="E147" s="36"/>
      <c r="F147" s="36"/>
      <c r="G147" s="36"/>
      <c r="H147" s="36"/>
      <c r="I147" s="34"/>
      <c r="J147" s="34"/>
      <c r="K147" s="34"/>
      <c r="L147" s="36"/>
      <c r="M147" s="34"/>
      <c r="N147" s="35"/>
      <c r="O147" s="42"/>
      <c r="P147" s="43"/>
      <c r="Q147" s="27"/>
      <c r="R147" s="27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12.75">
      <c r="A148" s="43"/>
      <c r="B148" s="43"/>
      <c r="C148" s="36"/>
      <c r="D148" s="36"/>
      <c r="E148" s="36"/>
      <c r="F148" s="36"/>
      <c r="G148" s="36"/>
      <c r="H148" s="36"/>
      <c r="I148" s="34"/>
      <c r="J148" s="34"/>
      <c r="K148" s="34"/>
      <c r="L148" s="36"/>
      <c r="M148" s="34"/>
      <c r="N148" s="35"/>
      <c r="O148" s="90"/>
      <c r="P148" s="43"/>
      <c r="Q148" s="27"/>
      <c r="R148" s="27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12.75">
      <c r="A149" s="36"/>
      <c r="B149" s="36"/>
      <c r="C149" s="36"/>
      <c r="D149" s="36"/>
      <c r="E149" s="36"/>
      <c r="F149" s="36"/>
      <c r="G149" s="36"/>
      <c r="H149" s="36"/>
      <c r="I149" s="34"/>
      <c r="J149" s="34"/>
      <c r="K149" s="34"/>
      <c r="L149" s="36"/>
      <c r="M149" s="34"/>
      <c r="N149" s="35"/>
      <c r="O149" s="34"/>
      <c r="P149" s="43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12.75">
      <c r="A150" s="36"/>
      <c r="B150" s="36"/>
      <c r="C150" s="36"/>
      <c r="D150" s="36"/>
      <c r="E150" s="36"/>
      <c r="F150" s="36"/>
      <c r="G150" s="36"/>
      <c r="H150" s="36"/>
      <c r="I150" s="34"/>
      <c r="J150" s="34"/>
      <c r="K150" s="34"/>
      <c r="L150" s="36"/>
      <c r="M150" s="34"/>
      <c r="N150" s="35"/>
      <c r="O150" s="3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12.75">
      <c r="A151" s="36"/>
      <c r="B151" s="36"/>
      <c r="C151" s="36"/>
      <c r="D151" s="46"/>
      <c r="E151" s="36"/>
      <c r="F151" s="36"/>
      <c r="G151" s="36"/>
      <c r="H151" s="36"/>
      <c r="I151" s="34"/>
      <c r="J151" s="34"/>
      <c r="K151" s="34"/>
      <c r="L151" s="36"/>
      <c r="M151" s="34"/>
      <c r="N151" s="35"/>
      <c r="O151" s="34"/>
      <c r="P151" s="36"/>
      <c r="Q151" s="36"/>
      <c r="R151" s="36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ht="12.75">
      <c r="A152" s="46"/>
      <c r="B152" s="46"/>
      <c r="C152" s="36"/>
      <c r="D152" s="46"/>
      <c r="E152" s="36"/>
      <c r="F152" s="36"/>
      <c r="G152" s="36"/>
      <c r="H152" s="36"/>
      <c r="I152" s="34"/>
      <c r="J152" s="34"/>
      <c r="K152" s="34"/>
      <c r="L152" s="36"/>
      <c r="M152" s="34"/>
      <c r="N152" s="35"/>
      <c r="O152" s="3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12.75">
      <c r="A153" s="46"/>
      <c r="B153" s="46"/>
      <c r="C153" s="36"/>
      <c r="D153" s="36"/>
      <c r="E153" s="36"/>
      <c r="F153" s="36"/>
      <c r="G153" s="36"/>
      <c r="H153" s="36"/>
      <c r="I153" s="34"/>
      <c r="J153" s="34"/>
      <c r="K153" s="34"/>
      <c r="L153" s="36"/>
      <c r="M153" s="34"/>
      <c r="N153" s="35"/>
      <c r="O153" s="3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12.75">
      <c r="A154" s="36"/>
      <c r="B154" s="36"/>
      <c r="C154" s="36"/>
      <c r="D154" s="36"/>
      <c r="E154" s="36"/>
      <c r="F154" s="36"/>
      <c r="G154" s="36"/>
      <c r="H154" s="36"/>
      <c r="I154" s="34"/>
      <c r="J154" s="34"/>
      <c r="K154" s="34"/>
      <c r="L154" s="36"/>
      <c r="M154" s="34"/>
      <c r="N154" s="35"/>
      <c r="O154" s="3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12.75">
      <c r="A155" s="36"/>
      <c r="B155" s="36"/>
      <c r="C155" s="36"/>
      <c r="D155" s="36"/>
      <c r="E155" s="36"/>
      <c r="F155" s="36"/>
      <c r="G155" s="36"/>
      <c r="H155" s="36"/>
      <c r="I155" s="34"/>
      <c r="J155" s="34"/>
      <c r="K155" s="34"/>
      <c r="L155" s="36"/>
      <c r="M155" s="34"/>
      <c r="N155" s="35"/>
      <c r="O155" s="3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s="42" customFormat="1" ht="12.75">
      <c r="A156" s="36"/>
      <c r="B156" s="36"/>
      <c r="C156" s="36"/>
      <c r="D156" s="36"/>
      <c r="E156" s="36"/>
      <c r="F156" s="36"/>
      <c r="G156" s="36"/>
      <c r="H156" s="36"/>
      <c r="I156" s="34"/>
      <c r="J156" s="34"/>
      <c r="K156" s="34"/>
      <c r="L156" s="36"/>
      <c r="M156" s="34"/>
      <c r="N156" s="34"/>
      <c r="O156" s="3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12.75">
      <c r="A157" s="36"/>
      <c r="B157" s="36"/>
      <c r="C157" s="36"/>
      <c r="D157" s="36"/>
      <c r="E157" s="36"/>
      <c r="F157" s="36"/>
      <c r="G157" s="36"/>
      <c r="H157" s="36"/>
      <c r="I157" s="34"/>
      <c r="J157" s="34"/>
      <c r="K157" s="34"/>
      <c r="L157" s="36"/>
      <c r="M157" s="34"/>
      <c r="N157" s="34"/>
      <c r="O157" s="34"/>
      <c r="P157" s="42"/>
      <c r="Q157" s="42"/>
      <c r="R157" s="42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12.75">
      <c r="A158" s="36"/>
      <c r="B158" s="36"/>
      <c r="C158" s="36"/>
      <c r="D158" s="36"/>
      <c r="E158" s="36"/>
      <c r="F158" s="36"/>
      <c r="G158" s="36"/>
      <c r="H158" s="36"/>
      <c r="I158" s="34"/>
      <c r="J158" s="34"/>
      <c r="K158" s="34"/>
      <c r="L158" s="36"/>
      <c r="M158" s="34"/>
      <c r="N158" s="34"/>
      <c r="O158" s="34"/>
      <c r="P158" s="42"/>
      <c r="Q158" s="42"/>
      <c r="R158" s="42"/>
      <c r="S158" s="27"/>
      <c r="T158" s="43"/>
      <c r="U158" s="36"/>
      <c r="V158" s="36"/>
      <c r="W158" s="36"/>
      <c r="X158" s="36"/>
      <c r="Y158" s="36"/>
      <c r="Z158" s="36"/>
      <c r="AA158" s="36"/>
    </row>
    <row r="159" spans="1:27" ht="12.75">
      <c r="A159" s="36"/>
      <c r="B159" s="36"/>
      <c r="C159" s="36"/>
      <c r="D159" s="36"/>
      <c r="E159" s="36"/>
      <c r="F159" s="36"/>
      <c r="G159" s="36"/>
      <c r="H159" s="36"/>
      <c r="I159" s="34"/>
      <c r="J159" s="34"/>
      <c r="K159" s="34"/>
      <c r="L159" s="36"/>
      <c r="M159" s="33"/>
      <c r="N159" s="34"/>
      <c r="O159" s="27"/>
      <c r="P159" s="42"/>
      <c r="Q159" s="42"/>
      <c r="R159" s="42"/>
      <c r="S159" s="27"/>
      <c r="T159" s="46"/>
      <c r="U159" s="36"/>
      <c r="V159" s="36"/>
      <c r="W159" s="36"/>
      <c r="X159" s="36"/>
      <c r="Y159" s="36"/>
      <c r="Z159" s="36"/>
      <c r="AA159" s="36"/>
    </row>
    <row r="160" spans="1:27" ht="12.75">
      <c r="A160" s="36"/>
      <c r="B160" s="36"/>
      <c r="C160" s="36"/>
      <c r="D160" s="36"/>
      <c r="E160" s="36"/>
      <c r="F160" s="36"/>
      <c r="G160" s="36"/>
      <c r="H160" s="36"/>
      <c r="I160" s="34"/>
      <c r="J160" s="34"/>
      <c r="K160" s="34"/>
      <c r="L160" s="36"/>
      <c r="M160" s="33"/>
      <c r="N160" s="34"/>
      <c r="O160" s="27"/>
      <c r="P160" s="42"/>
      <c r="Q160" s="42"/>
      <c r="R160" s="42"/>
      <c r="S160" s="27"/>
      <c r="T160" s="46"/>
      <c r="U160" s="36"/>
      <c r="V160" s="36"/>
      <c r="W160" s="36"/>
      <c r="X160" s="36"/>
      <c r="Y160" s="36"/>
      <c r="Z160" s="36"/>
      <c r="AA160" s="36"/>
    </row>
    <row r="161" spans="1:27" ht="12.75">
      <c r="A161" s="36"/>
      <c r="B161" s="36"/>
      <c r="C161" s="36"/>
      <c r="D161" s="36"/>
      <c r="E161" s="36"/>
      <c r="F161" s="36"/>
      <c r="G161" s="36"/>
      <c r="H161" s="36"/>
      <c r="I161" s="34"/>
      <c r="J161" s="34"/>
      <c r="K161" s="34"/>
      <c r="L161" s="36"/>
      <c r="M161" s="33"/>
      <c r="N161" s="34"/>
      <c r="O161" s="27"/>
      <c r="P161" s="42"/>
      <c r="Q161" s="42"/>
      <c r="R161" s="42"/>
      <c r="S161" s="27"/>
      <c r="T161" s="43"/>
      <c r="U161" s="36"/>
      <c r="V161" s="36"/>
      <c r="W161" s="36"/>
      <c r="X161" s="36"/>
      <c r="Y161" s="36"/>
      <c r="Z161" s="36"/>
      <c r="AA161" s="36"/>
    </row>
    <row r="162" spans="1:27" ht="12.75">
      <c r="A162" s="36"/>
      <c r="B162" s="36"/>
      <c r="C162" s="36"/>
      <c r="D162" s="36"/>
      <c r="E162" s="36"/>
      <c r="F162" s="36"/>
      <c r="G162" s="36"/>
      <c r="H162" s="36"/>
      <c r="I162" s="34"/>
      <c r="J162" s="34"/>
      <c r="K162" s="34"/>
      <c r="L162" s="36"/>
      <c r="M162" s="33"/>
      <c r="N162" s="34"/>
      <c r="O162" s="27"/>
      <c r="P162" s="42"/>
      <c r="Q162" s="42"/>
      <c r="R162" s="42"/>
      <c r="S162" s="27"/>
      <c r="T162" s="43"/>
      <c r="U162" s="36"/>
      <c r="V162" s="36"/>
      <c r="W162" s="36"/>
      <c r="X162" s="36"/>
      <c r="Y162" s="36"/>
      <c r="Z162" s="36"/>
      <c r="AA162" s="36"/>
    </row>
    <row r="163" spans="1:27" ht="12.75">
      <c r="A163" s="36"/>
      <c r="B163" s="36"/>
      <c r="C163" s="36"/>
      <c r="D163" s="36"/>
      <c r="E163" s="36"/>
      <c r="F163" s="36"/>
      <c r="G163" s="36"/>
      <c r="H163" s="36"/>
      <c r="I163" s="34"/>
      <c r="J163" s="34"/>
      <c r="K163" s="34"/>
      <c r="L163" s="36"/>
      <c r="M163" s="33"/>
      <c r="N163" s="34"/>
      <c r="O163" s="27"/>
      <c r="P163" s="42"/>
      <c r="Q163" s="42"/>
      <c r="R163" s="42"/>
      <c r="S163" s="27"/>
      <c r="T163" s="43"/>
      <c r="U163" s="36"/>
      <c r="V163" s="36"/>
      <c r="W163" s="36"/>
      <c r="X163" s="36"/>
      <c r="Y163" s="36"/>
      <c r="Z163" s="36"/>
      <c r="AA163" s="36"/>
    </row>
    <row r="164" spans="1:27" ht="12.75">
      <c r="A164" s="36"/>
      <c r="B164" s="36"/>
      <c r="C164" s="36"/>
      <c r="D164" s="36"/>
      <c r="E164" s="36"/>
      <c r="F164" s="36"/>
      <c r="G164" s="36"/>
      <c r="H164" s="36"/>
      <c r="I164" s="34"/>
      <c r="J164" s="34"/>
      <c r="K164" s="34"/>
      <c r="L164" s="36"/>
      <c r="M164" s="33"/>
      <c r="N164" s="34"/>
      <c r="O164" s="27"/>
      <c r="P164" s="42"/>
      <c r="Q164" s="42"/>
      <c r="R164" s="42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12.75">
      <c r="A165" s="36"/>
      <c r="B165" s="36"/>
      <c r="C165" s="36"/>
      <c r="D165" s="36"/>
      <c r="E165" s="36"/>
      <c r="F165" s="36"/>
      <c r="G165" s="36"/>
      <c r="H165" s="36"/>
      <c r="I165" s="34"/>
      <c r="J165" s="34"/>
      <c r="K165" s="34"/>
      <c r="L165" s="36"/>
      <c r="M165" s="33"/>
      <c r="N165" s="34"/>
      <c r="O165" s="27"/>
      <c r="P165" s="42"/>
      <c r="Q165" s="42"/>
      <c r="R165" s="42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12.75">
      <c r="A166" s="36"/>
      <c r="B166" s="36"/>
      <c r="C166" s="36"/>
      <c r="D166" s="36"/>
      <c r="E166" s="36"/>
      <c r="F166" s="36"/>
      <c r="G166" s="36"/>
      <c r="H166" s="36"/>
      <c r="I166" s="34"/>
      <c r="J166" s="34"/>
      <c r="K166" s="34"/>
      <c r="L166" s="36"/>
      <c r="M166" s="33"/>
      <c r="N166" s="34"/>
      <c r="O166" s="27"/>
      <c r="P166" s="42"/>
      <c r="Q166" s="42"/>
      <c r="R166" s="42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12.75">
      <c r="A167" s="36"/>
      <c r="B167" s="36"/>
      <c r="C167" s="36"/>
      <c r="D167" s="36"/>
      <c r="E167" s="36"/>
      <c r="F167" s="36"/>
      <c r="G167" s="36"/>
      <c r="H167" s="36"/>
      <c r="I167" s="34"/>
      <c r="J167" s="34"/>
      <c r="K167" s="34"/>
      <c r="L167" s="36"/>
      <c r="M167" s="33"/>
      <c r="N167" s="34"/>
      <c r="O167" s="27"/>
      <c r="P167" s="42"/>
      <c r="Q167" s="42"/>
      <c r="R167" s="42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12.75">
      <c r="A168" s="36"/>
      <c r="B168" s="36"/>
      <c r="C168" s="36"/>
      <c r="D168" s="36"/>
      <c r="E168" s="36"/>
      <c r="F168" s="36"/>
      <c r="G168" s="36"/>
      <c r="H168" s="36"/>
      <c r="I168" s="34"/>
      <c r="J168" s="34"/>
      <c r="K168" s="34"/>
      <c r="L168" s="36"/>
      <c r="M168" s="33"/>
      <c r="N168" s="34"/>
      <c r="O168" s="27"/>
      <c r="P168" s="42"/>
      <c r="Q168" s="42"/>
      <c r="R168" s="42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12.75">
      <c r="A169" s="36"/>
      <c r="B169" s="36"/>
      <c r="C169" s="36"/>
      <c r="D169" s="36"/>
      <c r="E169" s="36"/>
      <c r="F169" s="36"/>
      <c r="G169" s="36"/>
      <c r="H169" s="36"/>
      <c r="I169" s="34"/>
      <c r="J169" s="34"/>
      <c r="K169" s="34"/>
      <c r="L169" s="36"/>
      <c r="M169" s="33"/>
      <c r="N169" s="34"/>
      <c r="O169" s="27"/>
      <c r="P169" s="42"/>
      <c r="Q169" s="42"/>
      <c r="R169" s="42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12.75">
      <c r="A170" s="36"/>
      <c r="B170" s="36"/>
      <c r="C170" s="36"/>
      <c r="D170" s="36"/>
      <c r="E170" s="36"/>
      <c r="F170" s="36"/>
      <c r="G170" s="36"/>
      <c r="H170" s="36"/>
      <c r="I170" s="34"/>
      <c r="J170" s="34"/>
      <c r="K170" s="34"/>
      <c r="L170" s="36"/>
      <c r="M170" s="33"/>
      <c r="N170" s="34"/>
      <c r="O170" s="27"/>
      <c r="P170" s="42"/>
      <c r="Q170" s="42"/>
      <c r="R170" s="42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12.75">
      <c r="A171" s="36"/>
      <c r="B171" s="36"/>
      <c r="C171" s="36"/>
      <c r="D171" s="36"/>
      <c r="E171" s="36"/>
      <c r="F171" s="36"/>
      <c r="G171" s="36"/>
      <c r="H171" s="36"/>
      <c r="I171" s="34"/>
      <c r="J171" s="34"/>
      <c r="K171" s="34"/>
      <c r="L171" s="36"/>
      <c r="M171" s="33"/>
      <c r="N171" s="34"/>
      <c r="O171" s="27"/>
      <c r="P171" s="42"/>
      <c r="Q171" s="42"/>
      <c r="R171" s="42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12.75">
      <c r="A172" s="36"/>
      <c r="B172" s="36"/>
      <c r="C172" s="36"/>
      <c r="D172" s="36"/>
      <c r="E172" s="36"/>
      <c r="F172" s="36"/>
      <c r="G172" s="36"/>
      <c r="H172" s="36"/>
      <c r="I172" s="34"/>
      <c r="J172" s="34"/>
      <c r="K172" s="34"/>
      <c r="L172" s="36"/>
      <c r="M172" s="33"/>
      <c r="N172" s="34"/>
      <c r="O172" s="27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ht="12.75">
      <c r="A173" s="36"/>
      <c r="B173" s="36"/>
      <c r="C173" s="36"/>
      <c r="D173" s="36"/>
      <c r="E173" s="36"/>
      <c r="F173" s="36"/>
      <c r="G173" s="36"/>
      <c r="H173" s="36"/>
      <c r="I173" s="34"/>
      <c r="J173" s="34"/>
      <c r="K173" s="34"/>
      <c r="L173" s="36"/>
      <c r="M173" s="33"/>
      <c r="N173" s="34"/>
      <c r="O173" s="27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spans="1:27" ht="12.75">
      <c r="A174" s="36"/>
      <c r="B174" s="36"/>
      <c r="C174" s="36"/>
      <c r="D174" s="36"/>
      <c r="E174" s="36"/>
      <c r="F174" s="36"/>
      <c r="G174" s="36"/>
      <c r="H174" s="36"/>
      <c r="I174" s="34"/>
      <c r="J174" s="34"/>
      <c r="K174" s="34"/>
      <c r="L174" s="36"/>
      <c r="M174" s="33"/>
      <c r="N174" s="34"/>
      <c r="O174" s="27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</row>
    <row r="175" spans="1:27" ht="12.75">
      <c r="A175" s="36"/>
      <c r="B175" s="36"/>
      <c r="C175" s="36"/>
      <c r="D175" s="36"/>
      <c r="E175" s="36"/>
      <c r="G175" s="36"/>
      <c r="H175" s="36"/>
      <c r="I175" s="34"/>
      <c r="J175" s="34"/>
      <c r="K175" s="34"/>
      <c r="L175" s="36"/>
      <c r="M175" s="33"/>
      <c r="N175" s="34"/>
      <c r="O175" s="27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 spans="1:27" ht="12.75">
      <c r="A176" s="36"/>
      <c r="B176" s="36"/>
      <c r="C176" s="36"/>
      <c r="D176" s="36"/>
      <c r="E176" s="36"/>
      <c r="G176" s="36"/>
      <c r="H176" s="36"/>
      <c r="I176" s="34"/>
      <c r="J176" s="34"/>
      <c r="K176" s="34"/>
      <c r="L176" s="36"/>
      <c r="M176" s="33"/>
      <c r="N176" s="34"/>
      <c r="O176" s="27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</row>
    <row r="177" spans="1:15" s="42" customFormat="1" ht="12.75">
      <c r="A177" s="36"/>
      <c r="B177" s="36"/>
      <c r="C177" s="36"/>
      <c r="D177" s="36"/>
      <c r="E177" s="36"/>
      <c r="F177" s="4"/>
      <c r="G177" s="36"/>
      <c r="H177" s="36"/>
      <c r="I177" s="34"/>
      <c r="J177" s="34"/>
      <c r="K177" s="34"/>
      <c r="L177" s="36"/>
      <c r="M177" s="33"/>
      <c r="N177" s="34"/>
      <c r="O177" s="27"/>
    </row>
    <row r="178" spans="1:15" s="42" customFormat="1" ht="12.75">
      <c r="A178" s="36"/>
      <c r="B178" s="36"/>
      <c r="C178" s="36"/>
      <c r="D178" s="36"/>
      <c r="E178" s="36"/>
      <c r="F178" s="4"/>
      <c r="G178" s="36"/>
      <c r="H178" s="36"/>
      <c r="I178" s="34"/>
      <c r="J178" s="34"/>
      <c r="K178" s="34"/>
      <c r="L178" s="36"/>
      <c r="M178" s="33"/>
      <c r="N178" s="34"/>
      <c r="O178" s="27"/>
    </row>
    <row r="179" spans="1:18" s="42" customFormat="1" ht="12.75">
      <c r="A179" s="36"/>
      <c r="B179" s="36"/>
      <c r="C179" s="36"/>
      <c r="D179" s="36"/>
      <c r="E179" s="36"/>
      <c r="F179" s="4"/>
      <c r="G179" s="36"/>
      <c r="H179" s="36"/>
      <c r="I179" s="34"/>
      <c r="J179" s="34"/>
      <c r="K179" s="34"/>
      <c r="L179" s="4"/>
      <c r="M179" s="33"/>
      <c r="N179" s="34"/>
      <c r="O179" s="27"/>
      <c r="P179" s="90"/>
      <c r="Q179" s="90"/>
      <c r="R179" s="90"/>
    </row>
    <row r="180" spans="1:18" s="42" customFormat="1" ht="12.75">
      <c r="A180" s="4"/>
      <c r="B180" s="4"/>
      <c r="C180" s="36"/>
      <c r="D180" s="4"/>
      <c r="E180" s="36"/>
      <c r="F180" s="4"/>
      <c r="G180" s="36"/>
      <c r="H180" s="36"/>
      <c r="I180" s="34"/>
      <c r="J180" s="34"/>
      <c r="K180" s="34"/>
      <c r="L180" s="4"/>
      <c r="M180" s="33"/>
      <c r="N180" s="34"/>
      <c r="O180" s="27"/>
      <c r="P180" s="34"/>
      <c r="Q180" s="34"/>
      <c r="R180" s="34"/>
    </row>
    <row r="181" spans="1:18" s="42" customFormat="1" ht="12.75">
      <c r="A181" s="4"/>
      <c r="B181" s="4"/>
      <c r="C181" s="36"/>
      <c r="D181" s="4"/>
      <c r="E181" s="36"/>
      <c r="F181" s="4"/>
      <c r="G181" s="36"/>
      <c r="H181" s="36"/>
      <c r="I181" s="34"/>
      <c r="J181" s="34"/>
      <c r="K181" s="34"/>
      <c r="L181" s="4"/>
      <c r="M181" s="33"/>
      <c r="N181" s="34"/>
      <c r="O181" s="27"/>
      <c r="P181" s="34"/>
      <c r="Q181" s="34"/>
      <c r="R181" s="34"/>
    </row>
    <row r="182" spans="1:18" s="42" customFormat="1" ht="12.75">
      <c r="A182" s="4"/>
      <c r="B182" s="4"/>
      <c r="C182" s="36"/>
      <c r="D182" s="4"/>
      <c r="E182" s="36"/>
      <c r="F182" s="4"/>
      <c r="G182" s="36"/>
      <c r="H182" s="36"/>
      <c r="I182" s="34"/>
      <c r="J182" s="34"/>
      <c r="K182" s="34"/>
      <c r="L182" s="4"/>
      <c r="M182" s="33"/>
      <c r="N182" s="34"/>
      <c r="O182" s="27"/>
      <c r="P182" s="34"/>
      <c r="Q182" s="34"/>
      <c r="R182" s="34"/>
    </row>
    <row r="183" spans="1:18" s="42" customFormat="1" ht="12.75">
      <c r="A183" s="4"/>
      <c r="B183" s="4"/>
      <c r="C183" s="36"/>
      <c r="D183" s="4"/>
      <c r="E183" s="36"/>
      <c r="F183" s="4"/>
      <c r="G183" s="36"/>
      <c r="H183" s="36"/>
      <c r="I183" s="34"/>
      <c r="J183" s="34"/>
      <c r="K183" s="34"/>
      <c r="L183" s="4"/>
      <c r="M183" s="33"/>
      <c r="N183" s="5"/>
      <c r="O183" s="27"/>
      <c r="P183" s="34"/>
      <c r="Q183" s="34"/>
      <c r="R183" s="34"/>
    </row>
    <row r="184" spans="1:18" s="42" customFormat="1" ht="12.75">
      <c r="A184" s="4"/>
      <c r="B184" s="4"/>
      <c r="C184" s="36"/>
      <c r="D184" s="4"/>
      <c r="E184" s="36"/>
      <c r="F184" s="4"/>
      <c r="G184" s="36"/>
      <c r="H184" s="36"/>
      <c r="I184" s="34"/>
      <c r="J184" s="34"/>
      <c r="K184" s="34"/>
      <c r="L184" s="4"/>
      <c r="M184" s="33"/>
      <c r="N184" s="5"/>
      <c r="O184" s="27"/>
      <c r="P184" s="34"/>
      <c r="Q184" s="34"/>
      <c r="R184" s="34"/>
    </row>
    <row r="185" spans="1:18" s="42" customFormat="1" ht="12.75">
      <c r="A185" s="4"/>
      <c r="B185" s="4"/>
      <c r="C185" s="36"/>
      <c r="D185" s="4"/>
      <c r="E185" s="36"/>
      <c r="F185" s="4"/>
      <c r="G185" s="36"/>
      <c r="H185" s="36"/>
      <c r="I185" s="34"/>
      <c r="J185" s="34"/>
      <c r="K185" s="34"/>
      <c r="L185" s="4"/>
      <c r="M185" s="65"/>
      <c r="N185" s="5"/>
      <c r="O185" s="27"/>
      <c r="P185" s="34"/>
      <c r="Q185" s="34"/>
      <c r="R185" s="34"/>
    </row>
    <row r="186" spans="1:18" s="42" customFormat="1" ht="12.75">
      <c r="A186" s="4"/>
      <c r="B186" s="4"/>
      <c r="C186" s="36"/>
      <c r="D186" s="4"/>
      <c r="E186" s="36"/>
      <c r="F186" s="4"/>
      <c r="G186" s="36"/>
      <c r="H186" s="36"/>
      <c r="I186" s="34"/>
      <c r="J186" s="34"/>
      <c r="K186" s="34"/>
      <c r="L186" s="4"/>
      <c r="M186" s="65"/>
      <c r="N186" s="5"/>
      <c r="O186" s="27"/>
      <c r="P186" s="34"/>
      <c r="Q186" s="34"/>
      <c r="R186" s="34"/>
    </row>
    <row r="187" spans="1:18" s="42" customFormat="1" ht="12.75">
      <c r="A187" s="4"/>
      <c r="B187" s="4"/>
      <c r="C187" s="36"/>
      <c r="D187" s="4"/>
      <c r="E187" s="36"/>
      <c r="F187" s="4"/>
      <c r="G187" s="36"/>
      <c r="H187" s="36"/>
      <c r="I187" s="34"/>
      <c r="J187" s="34"/>
      <c r="K187" s="34"/>
      <c r="L187" s="4"/>
      <c r="M187" s="65"/>
      <c r="N187" s="5"/>
      <c r="O187" s="27"/>
      <c r="P187" s="34"/>
      <c r="Q187" s="34"/>
      <c r="R187" s="34"/>
    </row>
    <row r="188" spans="1:18" s="42" customFormat="1" ht="12.75">
      <c r="A188" s="4"/>
      <c r="B188" s="4"/>
      <c r="C188" s="36"/>
      <c r="D188" s="4"/>
      <c r="E188" s="36"/>
      <c r="F188" s="4"/>
      <c r="G188" s="36"/>
      <c r="H188" s="36"/>
      <c r="I188" s="34"/>
      <c r="J188" s="34"/>
      <c r="K188" s="34"/>
      <c r="L188" s="4"/>
      <c r="M188" s="65"/>
      <c r="N188" s="5"/>
      <c r="O188" s="27"/>
      <c r="P188" s="34"/>
      <c r="Q188" s="34"/>
      <c r="R188" s="34"/>
    </row>
    <row r="189" spans="1:61" s="3" customFormat="1" ht="12.75">
      <c r="A189" s="4"/>
      <c r="B189" s="4"/>
      <c r="C189" s="4"/>
      <c r="D189" s="4"/>
      <c r="E189" s="4"/>
      <c r="F189" s="4"/>
      <c r="G189" s="4"/>
      <c r="H189" s="4"/>
      <c r="I189" s="5"/>
      <c r="J189" s="5"/>
      <c r="K189" s="5"/>
      <c r="L189" s="4"/>
      <c r="M189" s="65"/>
      <c r="N189" s="5"/>
      <c r="O189" s="6"/>
      <c r="P189" s="4"/>
      <c r="Q189" s="4"/>
      <c r="R189" s="4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</row>
    <row r="190" spans="1:61" s="3" customFormat="1" ht="12.75">
      <c r="A190" s="4"/>
      <c r="B190" s="4"/>
      <c r="C190" s="4"/>
      <c r="D190" s="4"/>
      <c r="E190" s="4"/>
      <c r="F190" s="4"/>
      <c r="G190" s="4"/>
      <c r="H190" s="4"/>
      <c r="I190" s="5"/>
      <c r="J190" s="5"/>
      <c r="K190" s="5"/>
      <c r="L190" s="4"/>
      <c r="M190" s="65"/>
      <c r="N190" s="5"/>
      <c r="O190" s="6"/>
      <c r="P190" s="4"/>
      <c r="Q190" s="4"/>
      <c r="R190" s="4"/>
      <c r="S190" s="41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</row>
    <row r="191" spans="1:61" s="3" customFormat="1" ht="12.75">
      <c r="A191" s="4"/>
      <c r="B191" s="4"/>
      <c r="C191" s="4"/>
      <c r="D191" s="4"/>
      <c r="E191" s="4"/>
      <c r="F191" s="4"/>
      <c r="G191" s="4"/>
      <c r="H191" s="4"/>
      <c r="I191" s="5"/>
      <c r="J191" s="5"/>
      <c r="K191" s="5"/>
      <c r="L191" s="4"/>
      <c r="M191" s="65"/>
      <c r="N191" s="5"/>
      <c r="O191" s="6"/>
      <c r="P191" s="4"/>
      <c r="Q191" s="4"/>
      <c r="R191" s="4"/>
      <c r="S191" s="41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</row>
    <row r="192" spans="1:61" s="3" customFormat="1" ht="12.75">
      <c r="A192" s="4"/>
      <c r="B192" s="4"/>
      <c r="C192" s="4"/>
      <c r="D192" s="4"/>
      <c r="E192" s="4"/>
      <c r="F192" s="4"/>
      <c r="G192" s="4"/>
      <c r="H192" s="4"/>
      <c r="I192" s="5"/>
      <c r="J192" s="5"/>
      <c r="K192" s="5"/>
      <c r="L192" s="4"/>
      <c r="M192" s="65"/>
      <c r="N192" s="5"/>
      <c r="O192" s="6"/>
      <c r="P192" s="4"/>
      <c r="Q192" s="4"/>
      <c r="R192" s="4"/>
      <c r="S192" s="41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</row>
    <row r="193" spans="1:61" s="3" customFormat="1" ht="12.75">
      <c r="A193" s="4"/>
      <c r="B193" s="4"/>
      <c r="C193" s="4"/>
      <c r="D193" s="4"/>
      <c r="E193" s="4"/>
      <c r="F193" s="4"/>
      <c r="G193" s="4"/>
      <c r="H193" s="4"/>
      <c r="I193" s="5"/>
      <c r="J193" s="5"/>
      <c r="K193" s="5"/>
      <c r="L193" s="4"/>
      <c r="M193" s="65"/>
      <c r="N193" s="5"/>
      <c r="O193" s="5"/>
      <c r="P193" s="5"/>
      <c r="Q193" s="5"/>
      <c r="R193" s="26"/>
      <c r="S193" s="4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</row>
    <row r="194" spans="1:61" s="3" customFormat="1" ht="12.75">
      <c r="A194" s="4"/>
      <c r="B194" s="4"/>
      <c r="C194" s="4"/>
      <c r="D194" s="4"/>
      <c r="E194" s="4"/>
      <c r="F194" s="4"/>
      <c r="G194" s="4"/>
      <c r="H194" s="4"/>
      <c r="I194" s="5"/>
      <c r="J194" s="5"/>
      <c r="K194" s="5"/>
      <c r="L194" s="4"/>
      <c r="M194" s="65"/>
      <c r="N194" s="5"/>
      <c r="O194" s="5"/>
      <c r="P194" s="5"/>
      <c r="Q194" s="5"/>
      <c r="R194" s="26"/>
      <c r="S194" s="4"/>
      <c r="T194" s="4"/>
      <c r="U194" s="4"/>
      <c r="V194" s="4"/>
      <c r="W194" s="4"/>
      <c r="X194" s="4"/>
      <c r="Y194" s="4"/>
      <c r="Z194" s="4"/>
      <c r="AA194" s="4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</row>
    <row r="195" spans="1:61" s="3" customFormat="1" ht="12.75">
      <c r="A195" s="4"/>
      <c r="B195" s="4"/>
      <c r="C195" s="4"/>
      <c r="D195" s="4"/>
      <c r="E195" s="4"/>
      <c r="F195" s="4"/>
      <c r="G195" s="4"/>
      <c r="H195" s="4"/>
      <c r="I195" s="5"/>
      <c r="J195" s="5"/>
      <c r="K195" s="5"/>
      <c r="L195" s="4"/>
      <c r="M195" s="65"/>
      <c r="N195" s="5"/>
      <c r="O195" s="5"/>
      <c r="P195" s="5"/>
      <c r="Q195" s="5"/>
      <c r="R195" s="26"/>
      <c r="S195" s="4"/>
      <c r="T195" s="4"/>
      <c r="U195" s="4"/>
      <c r="V195" s="4"/>
      <c r="W195" s="4"/>
      <c r="X195" s="4"/>
      <c r="Y195" s="4"/>
      <c r="Z195" s="4"/>
      <c r="AA195" s="4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</row>
    <row r="196" spans="1:61" s="3" customFormat="1" ht="12.75">
      <c r="A196" s="4"/>
      <c r="B196" s="4"/>
      <c r="C196" s="4"/>
      <c r="D196" s="4"/>
      <c r="E196" s="4"/>
      <c r="F196" s="4"/>
      <c r="G196" s="4"/>
      <c r="H196" s="4"/>
      <c r="I196" s="5"/>
      <c r="J196" s="5"/>
      <c r="K196" s="5"/>
      <c r="L196" s="4"/>
      <c r="M196" s="65"/>
      <c r="N196" s="5"/>
      <c r="O196" s="5"/>
      <c r="P196" s="5"/>
      <c r="Q196" s="5"/>
      <c r="R196" s="26"/>
      <c r="S196" s="4"/>
      <c r="T196" s="4"/>
      <c r="U196" s="4"/>
      <c r="V196" s="4"/>
      <c r="W196" s="4"/>
      <c r="X196" s="4"/>
      <c r="Y196" s="4"/>
      <c r="Z196" s="4"/>
      <c r="AA196" s="4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</row>
    <row r="197" spans="1:61" s="3" customFormat="1" ht="12.75">
      <c r="A197" s="4"/>
      <c r="B197" s="4"/>
      <c r="C197" s="4"/>
      <c r="D197" s="4"/>
      <c r="E197" s="4"/>
      <c r="F197" s="4"/>
      <c r="G197" s="4"/>
      <c r="H197" s="4"/>
      <c r="I197" s="5"/>
      <c r="J197" s="5"/>
      <c r="K197" s="5"/>
      <c r="L197" s="4"/>
      <c r="M197" s="65"/>
      <c r="N197" s="5"/>
      <c r="O197" s="5"/>
      <c r="P197" s="5"/>
      <c r="Q197" s="5"/>
      <c r="R197" s="26"/>
      <c r="S197" s="4"/>
      <c r="T197" s="4"/>
      <c r="U197" s="4"/>
      <c r="V197" s="4"/>
      <c r="W197" s="4"/>
      <c r="X197" s="4"/>
      <c r="Y197" s="4"/>
      <c r="Z197" s="4"/>
      <c r="AA197" s="4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</row>
    <row r="198" spans="28:31" ht="12.75">
      <c r="AB198" s="42"/>
      <c r="AC198" s="42"/>
      <c r="AD198" s="42"/>
      <c r="AE198" s="42"/>
    </row>
  </sheetData>
  <sheetProtection sheet="1" objects="1" scenarios="1" formatColumns="0" formatRows="0"/>
  <mergeCells count="27">
    <mergeCell ref="A44:B44"/>
    <mergeCell ref="D15:E15"/>
    <mergeCell ref="I46:L46"/>
    <mergeCell ref="F25:G25"/>
    <mergeCell ref="F24:G24"/>
    <mergeCell ref="F29:G29"/>
    <mergeCell ref="F30:G30"/>
    <mergeCell ref="F43:G43"/>
    <mergeCell ref="F31:G31"/>
    <mergeCell ref="A1:F1"/>
    <mergeCell ref="F17:G17"/>
    <mergeCell ref="E3:F3"/>
    <mergeCell ref="F27:G27"/>
    <mergeCell ref="F19:G19"/>
    <mergeCell ref="F21:G21"/>
    <mergeCell ref="F22:G22"/>
    <mergeCell ref="F23:G23"/>
    <mergeCell ref="N44:O44"/>
    <mergeCell ref="A49:D49"/>
    <mergeCell ref="A48:D48"/>
    <mergeCell ref="F33:G33"/>
    <mergeCell ref="F35:G35"/>
    <mergeCell ref="F44:L44"/>
    <mergeCell ref="F37:G37"/>
    <mergeCell ref="F39:G39"/>
    <mergeCell ref="F41:G41"/>
    <mergeCell ref="F42:G42"/>
  </mergeCells>
  <dataValidations count="3">
    <dataValidation type="list" allowBlank="1" showInputMessage="1" showErrorMessage="1" sqref="P66:P68 Q19:Q43">
      <formula1>#REF!</formula1>
    </dataValidation>
    <dataValidation type="list" allowBlank="1" showInputMessage="1" showErrorMessage="1" sqref="O40 O32 O34 O36 O38 O28">
      <formula1>$F$67:$F$81</formula1>
    </dataValidation>
    <dataValidation type="list" allowBlank="1" showInputMessage="1" showErrorMessage="1" sqref="O39 O29:O31 O37 O35 O33 O27 O21:O25 O19">
      <formula1>$A$51:$A$64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paperSize="3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K198"/>
  <sheetViews>
    <sheetView view="pageBreakPreview" zoomScale="75" zoomScaleNormal="8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46.421875" style="4" customWidth="1"/>
    <col min="2" max="2" width="19.28125" style="4" bestFit="1" customWidth="1"/>
    <col min="3" max="3" width="15.7109375" style="4" customWidth="1"/>
    <col min="4" max="4" width="15.8515625" style="4" customWidth="1"/>
    <col min="5" max="5" width="15.7109375" style="4" customWidth="1"/>
    <col min="6" max="6" width="15.57421875" style="4" customWidth="1"/>
    <col min="7" max="8" width="17.7109375" style="4" customWidth="1"/>
    <col min="9" max="9" width="16.57421875" style="5" customWidth="1"/>
    <col min="10" max="11" width="16.421875" style="5" customWidth="1"/>
    <col min="12" max="12" width="14.7109375" style="4" customWidth="1"/>
    <col min="13" max="13" width="14.7109375" style="65" customWidth="1"/>
    <col min="14" max="14" width="14.7109375" style="5" customWidth="1"/>
    <col min="15" max="15" width="38.57421875" style="5" customWidth="1"/>
    <col min="16" max="16" width="15.57421875" style="5" customWidth="1"/>
    <col min="17" max="17" width="13.28125" style="5" customWidth="1"/>
    <col min="18" max="18" width="14.7109375" style="26" hidden="1" customWidth="1"/>
    <col min="19" max="19" width="21.28125" style="4" hidden="1" customWidth="1"/>
    <col min="20" max="28" width="9.140625" style="4" hidden="1" customWidth="1"/>
    <col min="29" max="33" width="9.140625" style="36" hidden="1" customWidth="1"/>
    <col min="34" max="62" width="9.140625" style="36" customWidth="1"/>
    <col min="63" max="16384" width="9.140625" style="4" customWidth="1"/>
  </cols>
  <sheetData>
    <row r="1" spans="1:6" ht="18.75" customHeight="1">
      <c r="A1" s="238" t="s">
        <v>51</v>
      </c>
      <c r="B1" s="238"/>
      <c r="C1" s="239"/>
      <c r="D1" s="239"/>
      <c r="E1" s="239"/>
      <c r="F1" s="239"/>
    </row>
    <row r="2" spans="1:6" ht="18">
      <c r="A2" s="102"/>
      <c r="B2" s="102"/>
      <c r="C2" s="73"/>
      <c r="D2" s="73"/>
      <c r="E2" s="73"/>
      <c r="F2" s="73"/>
    </row>
    <row r="3" spans="1:6" ht="18">
      <c r="A3" s="7" t="s">
        <v>111</v>
      </c>
      <c r="B3" s="7"/>
      <c r="E3" s="254"/>
      <c r="F3" s="254"/>
    </row>
    <row r="4" spans="1:6" ht="18">
      <c r="A4" s="14"/>
      <c r="B4" s="14"/>
      <c r="E4" s="3"/>
      <c r="F4" s="3"/>
    </row>
    <row r="5" spans="1:6" ht="12.75">
      <c r="A5" s="9"/>
      <c r="B5" s="9"/>
      <c r="F5" s="9"/>
    </row>
    <row r="6" spans="1:8" ht="12.75">
      <c r="A6" s="15" t="s">
        <v>146</v>
      </c>
      <c r="B6" s="15"/>
      <c r="C6" s="16"/>
      <c r="D6" s="9"/>
      <c r="E6" s="16"/>
      <c r="F6" s="16"/>
      <c r="G6" s="16"/>
      <c r="H6" s="16"/>
    </row>
    <row r="7" spans="1:62" ht="12.75">
      <c r="A7" s="22" t="s">
        <v>26</v>
      </c>
      <c r="B7" s="23" t="s">
        <v>22</v>
      </c>
      <c r="C7" s="23" t="s">
        <v>23</v>
      </c>
      <c r="D7" s="23" t="s">
        <v>24</v>
      </c>
      <c r="E7" s="23" t="s">
        <v>25</v>
      </c>
      <c r="F7" s="106" t="s">
        <v>7</v>
      </c>
      <c r="G7" s="77"/>
      <c r="H7" s="5"/>
      <c r="K7" s="4"/>
      <c r="L7" s="65"/>
      <c r="M7" s="5"/>
      <c r="Q7" s="26"/>
      <c r="R7" s="4"/>
      <c r="AB7" s="36"/>
      <c r="BJ7" s="4"/>
    </row>
    <row r="8" spans="1:62" ht="12.75">
      <c r="A8" s="164" t="s">
        <v>95</v>
      </c>
      <c r="B8" s="201">
        <f>'Site Data'!B24</f>
        <v>0</v>
      </c>
      <c r="C8" s="201">
        <f>'Site Data'!C24</f>
        <v>0</v>
      </c>
      <c r="D8" s="201">
        <f>'Site Data'!D24</f>
        <v>0</v>
      </c>
      <c r="E8" s="201">
        <f>'Site Data'!E24</f>
        <v>0</v>
      </c>
      <c r="F8" s="18">
        <f>SUM(B8:E8)</f>
        <v>0</v>
      </c>
      <c r="G8" s="77"/>
      <c r="H8" s="5"/>
      <c r="K8" s="4"/>
      <c r="L8" s="65"/>
      <c r="M8" s="5"/>
      <c r="Q8" s="26"/>
      <c r="R8" s="4"/>
      <c r="AB8" s="36"/>
      <c r="BJ8" s="4"/>
    </row>
    <row r="9" spans="1:62" ht="12.75">
      <c r="A9" s="69" t="s">
        <v>36</v>
      </c>
      <c r="B9" s="201">
        <f>'Site Data'!B25</f>
        <v>0</v>
      </c>
      <c r="C9" s="201">
        <f>'Site Data'!C25</f>
        <v>0</v>
      </c>
      <c r="D9" s="201">
        <f>'Site Data'!D25</f>
        <v>0</v>
      </c>
      <c r="E9" s="201">
        <f>'Site Data'!E25</f>
        <v>0</v>
      </c>
      <c r="F9" s="18">
        <f>SUM(B9:E9)</f>
        <v>0</v>
      </c>
      <c r="G9" s="62"/>
      <c r="H9" s="5"/>
      <c r="K9" s="4"/>
      <c r="L9" s="65"/>
      <c r="M9" s="5"/>
      <c r="Q9" s="26"/>
      <c r="R9" s="4"/>
      <c r="AB9" s="36"/>
      <c r="BJ9" s="4"/>
    </row>
    <row r="10" spans="1:62" ht="12.75">
      <c r="A10" s="69" t="s">
        <v>14</v>
      </c>
      <c r="B10" s="201">
        <f>'Site Data'!B26</f>
        <v>0</v>
      </c>
      <c r="C10" s="201">
        <f>'Site Data'!C26</f>
        <v>0</v>
      </c>
      <c r="D10" s="201">
        <f>'Site Data'!D26</f>
        <v>0</v>
      </c>
      <c r="E10" s="201">
        <f>'Site Data'!E26</f>
        <v>0</v>
      </c>
      <c r="F10" s="18">
        <f>SUM(B10:E10)</f>
        <v>0</v>
      </c>
      <c r="G10" s="62"/>
      <c r="H10" s="5"/>
      <c r="K10" s="4"/>
      <c r="L10" s="65"/>
      <c r="M10" s="5"/>
      <c r="P10" s="67"/>
      <c r="Q10" s="26"/>
      <c r="R10" s="4"/>
      <c r="AB10" s="36"/>
      <c r="BJ10" s="4"/>
    </row>
    <row r="11" spans="1:62" ht="12.75">
      <c r="A11" s="15"/>
      <c r="B11" s="16"/>
      <c r="C11" s="19"/>
      <c r="D11" s="16"/>
      <c r="E11" s="107" t="s">
        <v>8</v>
      </c>
      <c r="F11" s="18">
        <f>SUM(F8:F10)</f>
        <v>0</v>
      </c>
      <c r="G11" s="62"/>
      <c r="H11" s="5"/>
      <c r="K11" s="4"/>
      <c r="L11" s="65"/>
      <c r="M11" s="5"/>
      <c r="Q11" s="26"/>
      <c r="R11" s="4"/>
      <c r="AB11" s="36"/>
      <c r="BJ11" s="4"/>
    </row>
    <row r="12" spans="1:62" ht="12.75">
      <c r="A12" s="15"/>
      <c r="B12" s="16"/>
      <c r="C12" s="19"/>
      <c r="D12" s="16"/>
      <c r="E12" s="107"/>
      <c r="F12" s="62"/>
      <c r="G12" s="62"/>
      <c r="H12" s="5"/>
      <c r="K12" s="4"/>
      <c r="L12" s="65"/>
      <c r="M12" s="5"/>
      <c r="Q12" s="26"/>
      <c r="R12" s="4"/>
      <c r="AB12" s="36"/>
      <c r="BJ12" s="4"/>
    </row>
    <row r="13" spans="1:62" ht="12.75">
      <c r="A13" s="118" t="s">
        <v>98</v>
      </c>
      <c r="B13" s="119">
        <f>IF(F9&gt;0,SUMPRODUCT(B9:E9,'Site Data'!B54:E54)/F9,0)</f>
        <v>0</v>
      </c>
      <c r="C13" s="19"/>
      <c r="D13" s="16"/>
      <c r="E13" s="107"/>
      <c r="F13" s="62"/>
      <c r="G13" s="62"/>
      <c r="H13" s="5"/>
      <c r="K13" s="4"/>
      <c r="L13" s="65"/>
      <c r="M13" s="5"/>
      <c r="Q13" s="26"/>
      <c r="R13" s="4"/>
      <c r="AB13" s="36"/>
      <c r="BJ13" s="4"/>
    </row>
    <row r="14" spans="1:62" ht="12.75">
      <c r="A14" s="118" t="s">
        <v>42</v>
      </c>
      <c r="B14" s="121">
        <v>0.95</v>
      </c>
      <c r="C14" s="19"/>
      <c r="D14" s="16"/>
      <c r="E14" s="108"/>
      <c r="F14" s="62"/>
      <c r="G14" s="62"/>
      <c r="H14" s="5"/>
      <c r="K14" s="4"/>
      <c r="L14" s="65"/>
      <c r="M14" s="5"/>
      <c r="Q14" s="26"/>
      <c r="R14" s="4"/>
      <c r="AB14" s="36"/>
      <c r="BJ14" s="4"/>
    </row>
    <row r="15" spans="1:61" s="16" customFormat="1" ht="18">
      <c r="A15" s="98"/>
      <c r="D15" s="255" t="s">
        <v>147</v>
      </c>
      <c r="E15" s="255"/>
      <c r="F15" s="78">
        <f>1/12*(B13*F9+B14*F10)*43560</f>
        <v>0</v>
      </c>
      <c r="G15" s="20"/>
      <c r="H15" s="72"/>
      <c r="I15" s="72"/>
      <c r="J15" s="72"/>
      <c r="L15" s="72"/>
      <c r="M15" s="73"/>
      <c r="N15" s="71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</row>
    <row r="16" spans="1:62" s="16" customFormat="1" ht="18">
      <c r="A16" s="14" t="s">
        <v>56</v>
      </c>
      <c r="B16" s="14"/>
      <c r="I16" s="72"/>
      <c r="J16" s="72"/>
      <c r="K16" s="72"/>
      <c r="M16" s="74"/>
      <c r="N16" s="72"/>
      <c r="O16" s="72"/>
      <c r="P16" s="72"/>
      <c r="Q16" s="72"/>
      <c r="R16" s="73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</row>
    <row r="17" spans="1:62" s="16" customFormat="1" ht="63.75" customHeight="1">
      <c r="A17" s="106" t="s">
        <v>57</v>
      </c>
      <c r="B17" s="106" t="s">
        <v>151</v>
      </c>
      <c r="C17" s="104" t="s">
        <v>28</v>
      </c>
      <c r="D17" s="104" t="s">
        <v>74</v>
      </c>
      <c r="E17" s="104" t="s">
        <v>68</v>
      </c>
      <c r="F17" s="252" t="s">
        <v>9</v>
      </c>
      <c r="G17" s="253"/>
      <c r="H17" s="160" t="s">
        <v>94</v>
      </c>
      <c r="I17" s="151" t="s">
        <v>69</v>
      </c>
      <c r="J17" s="66" t="s">
        <v>70</v>
      </c>
      <c r="K17" s="66" t="s">
        <v>92</v>
      </c>
      <c r="L17" s="105" t="s">
        <v>29</v>
      </c>
      <c r="M17" s="105" t="s">
        <v>71</v>
      </c>
      <c r="N17" s="142" t="s">
        <v>72</v>
      </c>
      <c r="O17" s="105" t="s">
        <v>73</v>
      </c>
      <c r="P17" s="32"/>
      <c r="Q17" s="32"/>
      <c r="R17" s="4"/>
      <c r="S17" s="146" t="s">
        <v>76</v>
      </c>
      <c r="T17" s="146" t="s">
        <v>77</v>
      </c>
      <c r="U17" s="146" t="s">
        <v>78</v>
      </c>
      <c r="V17" s="146" t="s">
        <v>79</v>
      </c>
      <c r="W17" s="202" t="s">
        <v>119</v>
      </c>
      <c r="X17" s="146" t="s">
        <v>80</v>
      </c>
      <c r="Y17" s="146" t="s">
        <v>81</v>
      </c>
      <c r="Z17" s="146" t="s">
        <v>82</v>
      </c>
      <c r="AA17" s="146" t="s">
        <v>141</v>
      </c>
      <c r="AB17" s="146" t="s">
        <v>142</v>
      </c>
      <c r="AC17" s="146" t="s">
        <v>83</v>
      </c>
      <c r="AD17" s="146" t="s">
        <v>84</v>
      </c>
      <c r="AE17" s="149" t="s">
        <v>85</v>
      </c>
      <c r="AF17" s="149" t="s">
        <v>86</v>
      </c>
      <c r="AG17" s="148" t="s">
        <v>87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</row>
    <row r="18" spans="1:62" s="16" customFormat="1" ht="12.75" customHeight="1">
      <c r="A18" s="130" t="s">
        <v>58</v>
      </c>
      <c r="B18" s="228"/>
      <c r="C18" s="131"/>
      <c r="D18" s="131"/>
      <c r="E18" s="131"/>
      <c r="F18" s="131"/>
      <c r="G18" s="131"/>
      <c r="H18" s="131"/>
      <c r="I18" s="132"/>
      <c r="J18" s="132"/>
      <c r="K18" s="155"/>
      <c r="L18" s="133"/>
      <c r="M18" s="133"/>
      <c r="N18" s="143"/>
      <c r="O18" s="134"/>
      <c r="P18" s="32"/>
      <c r="Q18" s="32"/>
      <c r="R18" s="4"/>
      <c r="S18" s="88"/>
      <c r="T18" s="88"/>
      <c r="U18" s="88"/>
      <c r="V18" s="88"/>
      <c r="W18" s="88"/>
      <c r="X18" s="89"/>
      <c r="Y18" s="87"/>
      <c r="Z18" s="87"/>
      <c r="AA18" s="87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</row>
    <row r="19" spans="1:62" s="16" customFormat="1" ht="25.5" customHeight="1">
      <c r="A19" s="96" t="s">
        <v>59</v>
      </c>
      <c r="B19" s="231"/>
      <c r="C19" s="1"/>
      <c r="D19" s="18" t="s">
        <v>30</v>
      </c>
      <c r="E19" s="78">
        <f>1/12*0.95*C19*43560</f>
        <v>0</v>
      </c>
      <c r="F19" s="247" t="s">
        <v>75</v>
      </c>
      <c r="G19" s="248"/>
      <c r="H19" s="221">
        <v>1</v>
      </c>
      <c r="I19" s="76" t="s">
        <v>30</v>
      </c>
      <c r="J19" s="37">
        <f>E19</f>
        <v>0</v>
      </c>
      <c r="K19" s="156" t="s">
        <v>30</v>
      </c>
      <c r="L19" s="111"/>
      <c r="M19" s="79">
        <f>IF(L19*H19&lt;=J19,L19*H19,J19)</f>
        <v>0</v>
      </c>
      <c r="N19" s="154">
        <f aca="true" t="shared" si="0" ref="N19:N43">J19-M19</f>
        <v>0</v>
      </c>
      <c r="O19" s="80"/>
      <c r="P19" s="27"/>
      <c r="Q19" s="27"/>
      <c r="R19" s="4"/>
      <c r="S19" s="4">
        <f>IF($O19=S$17,$N19,0)</f>
        <v>0</v>
      </c>
      <c r="T19" s="4">
        <f aca="true" t="shared" si="1" ref="T19:AF33">IF($O19=T$17,$N19,0)</f>
        <v>0</v>
      </c>
      <c r="U19" s="4">
        <f t="shared" si="1"/>
        <v>0</v>
      </c>
      <c r="V19" s="4">
        <f t="shared" si="1"/>
        <v>0</v>
      </c>
      <c r="W19" s="4">
        <f t="shared" si="1"/>
        <v>0</v>
      </c>
      <c r="X19" s="4">
        <f t="shared" si="1"/>
        <v>0</v>
      </c>
      <c r="Y19" s="4">
        <f t="shared" si="1"/>
        <v>0</v>
      </c>
      <c r="Z19" s="4">
        <f t="shared" si="1"/>
        <v>0</v>
      </c>
      <c r="AA19" s="4">
        <f t="shared" si="1"/>
        <v>0</v>
      </c>
      <c r="AB19" s="4">
        <f t="shared" si="1"/>
        <v>0</v>
      </c>
      <c r="AC19" s="4">
        <f t="shared" si="1"/>
        <v>0</v>
      </c>
      <c r="AD19" s="4">
        <f t="shared" si="1"/>
        <v>0</v>
      </c>
      <c r="AE19" s="4">
        <f t="shared" si="1"/>
        <v>0</v>
      </c>
      <c r="AF19" s="4">
        <f t="shared" si="1"/>
        <v>0</v>
      </c>
      <c r="AG19" s="4">
        <f>IF($O19=AG$17,$N19,0)</f>
        <v>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</row>
    <row r="20" spans="1:62" s="16" customFormat="1" ht="12.75">
      <c r="A20" s="130" t="s">
        <v>60</v>
      </c>
      <c r="B20" s="228"/>
      <c r="C20" s="131"/>
      <c r="D20" s="131"/>
      <c r="E20" s="131"/>
      <c r="F20" s="131"/>
      <c r="G20" s="131"/>
      <c r="H20" s="162"/>
      <c r="I20" s="132"/>
      <c r="J20" s="132"/>
      <c r="K20" s="155"/>
      <c r="L20" s="133"/>
      <c r="M20" s="133"/>
      <c r="N20" s="143"/>
      <c r="O20" s="134"/>
      <c r="P20" s="27"/>
      <c r="Q20" s="27"/>
      <c r="R20" s="4"/>
      <c r="S20" s="4"/>
      <c r="T20" s="4"/>
      <c r="U20" s="4"/>
      <c r="V20" s="4"/>
      <c r="W20" s="4"/>
      <c r="X20" s="4"/>
      <c r="Y20" s="4"/>
      <c r="Z20" s="4"/>
      <c r="AA20" s="4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</row>
    <row r="21" spans="1:33" ht="38.25" customHeight="1">
      <c r="A21" s="146" t="s">
        <v>76</v>
      </c>
      <c r="B21" s="232"/>
      <c r="C21" s="1"/>
      <c r="D21" s="103" t="s">
        <v>30</v>
      </c>
      <c r="E21" s="78">
        <f aca="true" t="shared" si="2" ref="E21:E27">1/12*0.95*C21*43560</f>
        <v>0</v>
      </c>
      <c r="F21" s="247" t="s">
        <v>99</v>
      </c>
      <c r="G21" s="248"/>
      <c r="H21" s="221" t="s">
        <v>30</v>
      </c>
      <c r="I21" s="37">
        <f>S45</f>
        <v>0</v>
      </c>
      <c r="J21" s="37">
        <f>E21+I21</f>
        <v>0</v>
      </c>
      <c r="K21" s="215"/>
      <c r="L21" s="76" t="s">
        <v>30</v>
      </c>
      <c r="M21" s="79">
        <f>IF(K21*0.04&lt;=J21,K21*0.04,J21)</f>
        <v>0</v>
      </c>
      <c r="N21" s="154">
        <f t="shared" si="0"/>
        <v>0</v>
      </c>
      <c r="O21" s="80"/>
      <c r="P21" s="27"/>
      <c r="Q21" s="27"/>
      <c r="R21" s="4"/>
      <c r="S21" s="4">
        <f>IF($O21=S$17,$N21,0)</f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 t="shared" si="1"/>
        <v>0</v>
      </c>
      <c r="AB21" s="4">
        <f t="shared" si="1"/>
        <v>0</v>
      </c>
      <c r="AC21" s="4">
        <f t="shared" si="1"/>
        <v>0</v>
      </c>
      <c r="AD21" s="4">
        <f t="shared" si="1"/>
        <v>0</v>
      </c>
      <c r="AE21" s="4">
        <f t="shared" si="1"/>
        <v>0</v>
      </c>
      <c r="AF21" s="4">
        <f t="shared" si="1"/>
        <v>0</v>
      </c>
      <c r="AG21" s="4">
        <f>IF($O21=AG$17,$N21,0)</f>
        <v>0</v>
      </c>
    </row>
    <row r="22" spans="1:33" ht="38.25" customHeight="1">
      <c r="A22" s="146" t="s">
        <v>77</v>
      </c>
      <c r="B22" s="232"/>
      <c r="C22" s="1"/>
      <c r="D22" s="103" t="s">
        <v>30</v>
      </c>
      <c r="E22" s="78">
        <f t="shared" si="2"/>
        <v>0</v>
      </c>
      <c r="F22" s="247" t="s">
        <v>100</v>
      </c>
      <c r="G22" s="248"/>
      <c r="H22" s="221" t="s">
        <v>30</v>
      </c>
      <c r="I22" s="37">
        <f>T45</f>
        <v>0</v>
      </c>
      <c r="J22" s="37">
        <f>E22+I22</f>
        <v>0</v>
      </c>
      <c r="K22" s="215"/>
      <c r="L22" s="76" t="s">
        <v>30</v>
      </c>
      <c r="M22" s="79">
        <f>IF(K22*0.02&lt;=J22,K22*0.02,J22)</f>
        <v>0</v>
      </c>
      <c r="N22" s="154">
        <f t="shared" si="0"/>
        <v>0</v>
      </c>
      <c r="O22" s="80"/>
      <c r="P22" s="27"/>
      <c r="Q22" s="27"/>
      <c r="R22" s="4"/>
      <c r="S22" s="4">
        <f>IF($O22=S$17,$N22,0)</f>
        <v>0</v>
      </c>
      <c r="T22" s="4">
        <f t="shared" si="1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si="1"/>
        <v>0</v>
      </c>
      <c r="AB22" s="4">
        <f t="shared" si="1"/>
        <v>0</v>
      </c>
      <c r="AC22" s="4">
        <f t="shared" si="1"/>
        <v>0</v>
      </c>
      <c r="AD22" s="4">
        <f t="shared" si="1"/>
        <v>0</v>
      </c>
      <c r="AE22" s="4">
        <f t="shared" si="1"/>
        <v>0</v>
      </c>
      <c r="AF22" s="4">
        <f t="shared" si="1"/>
        <v>0</v>
      </c>
      <c r="AG22" s="4">
        <f>IF($O22=AG$17,$N22,0)</f>
        <v>0</v>
      </c>
    </row>
    <row r="23" spans="1:33" ht="25.5" customHeight="1">
      <c r="A23" s="146" t="s">
        <v>110</v>
      </c>
      <c r="B23" s="232"/>
      <c r="C23" s="1"/>
      <c r="D23" s="225"/>
      <c r="E23" s="78">
        <f>1/12*(0.95*C23+$B$13*D23)*43560</f>
        <v>0</v>
      </c>
      <c r="F23" s="247" t="s">
        <v>75</v>
      </c>
      <c r="G23" s="248"/>
      <c r="H23" s="221">
        <v>1</v>
      </c>
      <c r="I23" s="37">
        <f>U45</f>
        <v>0</v>
      </c>
      <c r="J23" s="37">
        <f>E23+I23</f>
        <v>0</v>
      </c>
      <c r="K23" s="156" t="s">
        <v>30</v>
      </c>
      <c r="L23" s="111"/>
      <c r="M23" s="79">
        <f>IF(L23*H23&lt;=J23,L23*H23,J23)</f>
        <v>0</v>
      </c>
      <c r="N23" s="154">
        <f t="shared" si="0"/>
        <v>0</v>
      </c>
      <c r="O23" s="80"/>
      <c r="P23" s="27"/>
      <c r="Q23" s="27"/>
      <c r="R23" s="4"/>
      <c r="S23" s="4">
        <f>IF($O23=S$17,$N23,0)</f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>IF($O23=AG$17,$N23,0)</f>
        <v>0</v>
      </c>
    </row>
    <row r="24" spans="1:33" ht="25.5" customHeight="1">
      <c r="A24" s="146" t="s">
        <v>79</v>
      </c>
      <c r="B24" s="232"/>
      <c r="C24" s="1"/>
      <c r="D24" s="103" t="s">
        <v>30</v>
      </c>
      <c r="E24" s="78">
        <f t="shared" si="2"/>
        <v>0</v>
      </c>
      <c r="F24" s="247" t="s">
        <v>93</v>
      </c>
      <c r="G24" s="248"/>
      <c r="H24" s="216"/>
      <c r="I24" s="37">
        <f>V45</f>
        <v>0</v>
      </c>
      <c r="J24" s="37">
        <f>E24+I24</f>
        <v>0</v>
      </c>
      <c r="K24" s="156" t="s">
        <v>30</v>
      </c>
      <c r="L24" s="111"/>
      <c r="M24" s="79">
        <f>IF(L24*H24&lt;=J24,L24*H24,J24)</f>
        <v>0</v>
      </c>
      <c r="N24" s="154">
        <f t="shared" si="0"/>
        <v>0</v>
      </c>
      <c r="O24" s="80"/>
      <c r="P24" s="27"/>
      <c r="Q24" s="27"/>
      <c r="R24" s="4"/>
      <c r="S24" s="4">
        <f>IF($O24=S$17,$N24,0)</f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1"/>
        <v>0</v>
      </c>
      <c r="AB24" s="4">
        <f t="shared" si="1"/>
        <v>0</v>
      </c>
      <c r="AC24" s="4">
        <f t="shared" si="1"/>
        <v>0</v>
      </c>
      <c r="AD24" s="4">
        <f t="shared" si="1"/>
        <v>0</v>
      </c>
      <c r="AE24" s="4">
        <f t="shared" si="1"/>
        <v>0</v>
      </c>
      <c r="AF24" s="4">
        <f t="shared" si="1"/>
        <v>0</v>
      </c>
      <c r="AG24" s="4">
        <f>IF($O24=AG$17,$N24,0)</f>
        <v>0</v>
      </c>
    </row>
    <row r="25" spans="1:33" ht="25.5" customHeight="1">
      <c r="A25" s="202" t="s">
        <v>119</v>
      </c>
      <c r="B25" s="233"/>
      <c r="C25" s="1"/>
      <c r="D25" s="103" t="s">
        <v>30</v>
      </c>
      <c r="E25" s="78">
        <f t="shared" si="2"/>
        <v>0</v>
      </c>
      <c r="F25" s="247" t="s">
        <v>75</v>
      </c>
      <c r="G25" s="248"/>
      <c r="H25" s="221">
        <v>1</v>
      </c>
      <c r="I25" s="37">
        <f>W45</f>
        <v>0</v>
      </c>
      <c r="J25" s="37">
        <f>E25+I25</f>
        <v>0</v>
      </c>
      <c r="K25" s="156" t="s">
        <v>30</v>
      </c>
      <c r="L25" s="111"/>
      <c r="M25" s="79">
        <f>IF(L25*H25&lt;=J25,L25*H25,J25)</f>
        <v>0</v>
      </c>
      <c r="N25" s="154">
        <f>J25-M25</f>
        <v>0</v>
      </c>
      <c r="O25" s="80"/>
      <c r="P25" s="27"/>
      <c r="Q25" s="27"/>
      <c r="R25" s="4"/>
      <c r="S25" s="4">
        <f>IF($O25=S$17,$N25,0)</f>
        <v>0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1"/>
        <v>0</v>
      </c>
      <c r="AB25" s="4">
        <f t="shared" si="1"/>
        <v>0</v>
      </c>
      <c r="AC25" s="4">
        <f t="shared" si="1"/>
        <v>0</v>
      </c>
      <c r="AD25" s="4">
        <f t="shared" si="1"/>
        <v>0</v>
      </c>
      <c r="AE25" s="4">
        <f t="shared" si="1"/>
        <v>0</v>
      </c>
      <c r="AF25" s="4">
        <f t="shared" si="1"/>
        <v>0</v>
      </c>
      <c r="AG25" s="4">
        <f>IF($O25=AG$17,$N25,0)</f>
        <v>0</v>
      </c>
    </row>
    <row r="26" spans="1:62" s="16" customFormat="1" ht="12.75">
      <c r="A26" s="130" t="s">
        <v>61</v>
      </c>
      <c r="B26" s="228"/>
      <c r="C26" s="131"/>
      <c r="D26" s="131"/>
      <c r="E26" s="131"/>
      <c r="F26" s="131"/>
      <c r="G26" s="131"/>
      <c r="H26" s="162"/>
      <c r="I26" s="132"/>
      <c r="J26" s="132"/>
      <c r="K26" s="155"/>
      <c r="L26" s="133"/>
      <c r="M26" s="133"/>
      <c r="N26" s="143"/>
      <c r="O26" s="134"/>
      <c r="P26" s="27"/>
      <c r="Q26" s="27"/>
      <c r="R26" s="4"/>
      <c r="S26" s="4"/>
      <c r="T26" s="4"/>
      <c r="U26" s="4"/>
      <c r="V26" s="4"/>
      <c r="W26" s="4"/>
      <c r="X26" s="4"/>
      <c r="Y26" s="4"/>
      <c r="Z26" s="4"/>
      <c r="AA26" s="4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</row>
    <row r="27" spans="1:33" ht="25.5" customHeight="1">
      <c r="A27" s="147" t="s">
        <v>140</v>
      </c>
      <c r="B27" s="234"/>
      <c r="C27" s="1"/>
      <c r="D27" s="103" t="s">
        <v>30</v>
      </c>
      <c r="E27" s="78">
        <f t="shared" si="2"/>
        <v>0</v>
      </c>
      <c r="F27" s="247" t="s">
        <v>75</v>
      </c>
      <c r="G27" s="248"/>
      <c r="H27" s="221">
        <v>1</v>
      </c>
      <c r="I27" s="76" t="s">
        <v>30</v>
      </c>
      <c r="J27" s="37">
        <f>E27</f>
        <v>0</v>
      </c>
      <c r="K27" s="156" t="s">
        <v>30</v>
      </c>
      <c r="L27" s="111"/>
      <c r="M27" s="79">
        <f>IF(L27*H27&lt;=J27,L27*H27,J27)</f>
        <v>0</v>
      </c>
      <c r="N27" s="154">
        <f t="shared" si="0"/>
        <v>0</v>
      </c>
      <c r="O27" s="80"/>
      <c r="P27" s="27"/>
      <c r="Q27" s="27"/>
      <c r="R27" s="4"/>
      <c r="S27" s="4">
        <f>IF($O27=S$17,$N27,0)</f>
        <v>0</v>
      </c>
      <c r="T27" s="4">
        <f t="shared" si="1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1"/>
        <v>0</v>
      </c>
      <c r="AB27" s="4">
        <f t="shared" si="1"/>
        <v>0</v>
      </c>
      <c r="AC27" s="4">
        <f t="shared" si="1"/>
        <v>0</v>
      </c>
      <c r="AD27" s="4">
        <f t="shared" si="1"/>
        <v>0</v>
      </c>
      <c r="AE27" s="4">
        <f t="shared" si="1"/>
        <v>0</v>
      </c>
      <c r="AF27" s="4">
        <f t="shared" si="1"/>
        <v>0</v>
      </c>
      <c r="AG27" s="4">
        <f>IF($O27=AG$17,$N27,0)</f>
        <v>0</v>
      </c>
    </row>
    <row r="28" spans="1:28" ht="12.75">
      <c r="A28" s="129" t="s">
        <v>62</v>
      </c>
      <c r="B28" s="129"/>
      <c r="C28" s="218"/>
      <c r="D28" s="135"/>
      <c r="E28" s="136"/>
      <c r="F28" s="137"/>
      <c r="G28" s="137"/>
      <c r="H28" s="163"/>
      <c r="I28" s="138"/>
      <c r="J28" s="139"/>
      <c r="K28" s="139"/>
      <c r="L28" s="138"/>
      <c r="M28" s="136"/>
      <c r="N28" s="139"/>
      <c r="O28" s="219"/>
      <c r="P28" s="27"/>
      <c r="Q28" s="27"/>
      <c r="R28" s="4"/>
      <c r="AB28" s="36"/>
    </row>
    <row r="29" spans="1:33" ht="25.5" customHeight="1">
      <c r="A29" s="147" t="s">
        <v>138</v>
      </c>
      <c r="B29" s="234"/>
      <c r="C29" s="1"/>
      <c r="D29" s="217"/>
      <c r="E29" s="78">
        <f>1/12*(0.95*C29+$B$13*D29)*43560</f>
        <v>0</v>
      </c>
      <c r="F29" s="247" t="s">
        <v>91</v>
      </c>
      <c r="G29" s="248"/>
      <c r="H29" s="221">
        <v>0.2</v>
      </c>
      <c r="I29" s="37">
        <f>X45</f>
        <v>0</v>
      </c>
      <c r="J29" s="37">
        <f aca="true" t="shared" si="3" ref="J29:J43">E29+I29</f>
        <v>0</v>
      </c>
      <c r="K29" s="156" t="s">
        <v>30</v>
      </c>
      <c r="L29" s="76" t="s">
        <v>30</v>
      </c>
      <c r="M29" s="79">
        <f>J29*H29</f>
        <v>0</v>
      </c>
      <c r="N29" s="154">
        <f t="shared" si="0"/>
        <v>0</v>
      </c>
      <c r="O29" s="80"/>
      <c r="P29" s="27"/>
      <c r="Q29" s="27"/>
      <c r="R29" s="4"/>
      <c r="S29" s="4">
        <f>IF($O29=S$17,$N29,0)</f>
        <v>0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1"/>
        <v>0</v>
      </c>
      <c r="AB29" s="4">
        <f t="shared" si="1"/>
        <v>0</v>
      </c>
      <c r="AC29" s="4">
        <f t="shared" si="1"/>
        <v>0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>IF($O29=AG$17,$N29,0)</f>
        <v>0</v>
      </c>
    </row>
    <row r="30" spans="1:33" ht="25.5" customHeight="1">
      <c r="A30" s="147" t="s">
        <v>139</v>
      </c>
      <c r="B30" s="234"/>
      <c r="C30" s="1"/>
      <c r="D30" s="217"/>
      <c r="E30" s="78">
        <f>1/12*(0.95*C30+$B$13*D30)*43560</f>
        <v>0</v>
      </c>
      <c r="F30" s="247" t="s">
        <v>90</v>
      </c>
      <c r="G30" s="248"/>
      <c r="H30" s="221">
        <v>0.1</v>
      </c>
      <c r="I30" s="37">
        <f>Y45</f>
        <v>0</v>
      </c>
      <c r="J30" s="37">
        <f t="shared" si="3"/>
        <v>0</v>
      </c>
      <c r="K30" s="156" t="s">
        <v>30</v>
      </c>
      <c r="L30" s="76" t="s">
        <v>30</v>
      </c>
      <c r="M30" s="79">
        <f>J30*H30</f>
        <v>0</v>
      </c>
      <c r="N30" s="154">
        <f t="shared" si="0"/>
        <v>0</v>
      </c>
      <c r="O30" s="80"/>
      <c r="P30" s="27"/>
      <c r="Q30" s="27"/>
      <c r="R30" s="4"/>
      <c r="S30" s="4">
        <f>IF($O30=S$17,$N30,0)</f>
        <v>0</v>
      </c>
      <c r="T30" s="4">
        <f t="shared" si="1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1"/>
        <v>0</v>
      </c>
      <c r="AB30" s="4">
        <f t="shared" si="1"/>
        <v>0</v>
      </c>
      <c r="AC30" s="4">
        <f t="shared" si="1"/>
        <v>0</v>
      </c>
      <c r="AD30" s="4">
        <f t="shared" si="1"/>
        <v>0</v>
      </c>
      <c r="AE30" s="4">
        <f t="shared" si="1"/>
        <v>0</v>
      </c>
      <c r="AF30" s="4">
        <f t="shared" si="1"/>
        <v>0</v>
      </c>
      <c r="AG30" s="4">
        <f>IF($O30=AG$17,$N30,0)</f>
        <v>0</v>
      </c>
    </row>
    <row r="31" spans="1:33" ht="25.5" customHeight="1">
      <c r="A31" s="147" t="s">
        <v>82</v>
      </c>
      <c r="B31" s="234"/>
      <c r="C31" s="1"/>
      <c r="D31" s="217"/>
      <c r="E31" s="78">
        <f>1/12*(0.95*C31+$B$13*D31)*43560</f>
        <v>0</v>
      </c>
      <c r="F31" s="247" t="s">
        <v>89</v>
      </c>
      <c r="G31" s="248"/>
      <c r="H31" s="221">
        <v>0.3</v>
      </c>
      <c r="I31" s="37">
        <f>Z45</f>
        <v>0</v>
      </c>
      <c r="J31" s="37">
        <f t="shared" si="3"/>
        <v>0</v>
      </c>
      <c r="K31" s="156" t="s">
        <v>30</v>
      </c>
      <c r="L31" s="76" t="s">
        <v>30</v>
      </c>
      <c r="M31" s="79">
        <f>J31*H31</f>
        <v>0</v>
      </c>
      <c r="N31" s="154">
        <f t="shared" si="0"/>
        <v>0</v>
      </c>
      <c r="O31" s="80"/>
      <c r="P31" s="27"/>
      <c r="Q31" s="27"/>
      <c r="R31" s="4"/>
      <c r="S31" s="4">
        <f>IF($O31=S$17,$N31,0)</f>
        <v>0</v>
      </c>
      <c r="T31" s="4">
        <f t="shared" si="1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1"/>
        <v>0</v>
      </c>
      <c r="AB31" s="4">
        <f t="shared" si="1"/>
        <v>0</v>
      </c>
      <c r="AC31" s="4">
        <f t="shared" si="1"/>
        <v>0</v>
      </c>
      <c r="AD31" s="4">
        <f t="shared" si="1"/>
        <v>0</v>
      </c>
      <c r="AE31" s="4">
        <f t="shared" si="1"/>
        <v>0</v>
      </c>
      <c r="AF31" s="4">
        <f t="shared" si="1"/>
        <v>0</v>
      </c>
      <c r="AG31" s="4">
        <f>IF($O31=AG$17,$N31,0)</f>
        <v>0</v>
      </c>
    </row>
    <row r="32" spans="1:28" ht="12.75">
      <c r="A32" s="140" t="s">
        <v>63</v>
      </c>
      <c r="B32" s="129"/>
      <c r="C32" s="218"/>
      <c r="D32" s="135"/>
      <c r="E32" s="136"/>
      <c r="F32" s="137"/>
      <c r="G32" s="137"/>
      <c r="H32" s="163"/>
      <c r="I32" s="138"/>
      <c r="J32" s="139"/>
      <c r="K32" s="139"/>
      <c r="L32" s="138"/>
      <c r="M32" s="136"/>
      <c r="N32" s="139"/>
      <c r="O32" s="219"/>
      <c r="P32" s="27"/>
      <c r="Q32" s="27"/>
      <c r="R32" s="4"/>
      <c r="AB32" s="36"/>
    </row>
    <row r="33" spans="1:33" ht="25.5" customHeight="1">
      <c r="A33" s="147" t="s">
        <v>141</v>
      </c>
      <c r="B33" s="234"/>
      <c r="C33" s="1"/>
      <c r="D33" s="217"/>
      <c r="E33" s="78">
        <f>1/12*(0.95*C33+$B$13*D33)*43560</f>
        <v>0</v>
      </c>
      <c r="F33" s="247" t="s">
        <v>75</v>
      </c>
      <c r="G33" s="248"/>
      <c r="H33" s="221">
        <v>1</v>
      </c>
      <c r="I33" s="37">
        <f>AA45</f>
        <v>0</v>
      </c>
      <c r="J33" s="37">
        <f t="shared" si="3"/>
        <v>0</v>
      </c>
      <c r="K33" s="156" t="s">
        <v>30</v>
      </c>
      <c r="L33" s="111"/>
      <c r="M33" s="79">
        <f>IF(L33*H33&lt;=J33,L33*H33,J33)</f>
        <v>0</v>
      </c>
      <c r="N33" s="154">
        <f t="shared" si="0"/>
        <v>0</v>
      </c>
      <c r="O33" s="80"/>
      <c r="P33" s="27"/>
      <c r="Q33" s="27"/>
      <c r="R33" s="4"/>
      <c r="S33" s="4">
        <f>IF($O33=S$17,$N33,0)</f>
        <v>0</v>
      </c>
      <c r="T33" s="4">
        <f t="shared" si="1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1"/>
        <v>0</v>
      </c>
      <c r="AB33" s="4">
        <f t="shared" si="1"/>
        <v>0</v>
      </c>
      <c r="AC33" s="4">
        <f t="shared" si="1"/>
        <v>0</v>
      </c>
      <c r="AD33" s="4">
        <f t="shared" si="1"/>
        <v>0</v>
      </c>
      <c r="AE33" s="4">
        <f t="shared" si="1"/>
        <v>0</v>
      </c>
      <c r="AF33" s="4">
        <f t="shared" si="1"/>
        <v>0</v>
      </c>
      <c r="AG33" s="4">
        <f>IF($O33=AG$17,$N33,0)</f>
        <v>0</v>
      </c>
    </row>
    <row r="34" spans="1:28" ht="12.75">
      <c r="A34" s="140" t="s">
        <v>64</v>
      </c>
      <c r="B34" s="129"/>
      <c r="C34" s="218"/>
      <c r="D34" s="135"/>
      <c r="E34" s="136"/>
      <c r="F34" s="137"/>
      <c r="G34" s="137"/>
      <c r="H34" s="163"/>
      <c r="I34" s="138"/>
      <c r="J34" s="139"/>
      <c r="K34" s="139"/>
      <c r="L34" s="138"/>
      <c r="M34" s="136"/>
      <c r="N34" s="139"/>
      <c r="O34" s="219"/>
      <c r="P34" s="27"/>
      <c r="Q34" s="27"/>
      <c r="R34" s="4"/>
      <c r="AB34" s="36"/>
    </row>
    <row r="35" spans="1:33" ht="25.5" customHeight="1">
      <c r="A35" s="147" t="s">
        <v>142</v>
      </c>
      <c r="B35" s="234"/>
      <c r="C35" s="1"/>
      <c r="D35" s="217"/>
      <c r="E35" s="78">
        <f>1/12*(0.95*C35+$B$13*D35)*43560</f>
        <v>0</v>
      </c>
      <c r="F35" s="247" t="s">
        <v>75</v>
      </c>
      <c r="G35" s="248"/>
      <c r="H35" s="221">
        <v>1</v>
      </c>
      <c r="I35" s="37">
        <f>AB45</f>
        <v>0</v>
      </c>
      <c r="J35" s="37">
        <f t="shared" si="3"/>
        <v>0</v>
      </c>
      <c r="K35" s="156" t="s">
        <v>30</v>
      </c>
      <c r="L35" s="111"/>
      <c r="M35" s="79">
        <f>IF(L35*H35&lt;=J35,L35*H35,J35)</f>
        <v>0</v>
      </c>
      <c r="N35" s="154">
        <f t="shared" si="0"/>
        <v>0</v>
      </c>
      <c r="O35" s="80"/>
      <c r="P35" s="27"/>
      <c r="Q35" s="27"/>
      <c r="R35" s="4"/>
      <c r="S35" s="4">
        <f aca="true" t="shared" si="4" ref="S35:AE35">IF($O35=S$17,$N35,0)</f>
        <v>0</v>
      </c>
      <c r="T35" s="4">
        <f t="shared" si="4"/>
        <v>0</v>
      </c>
      <c r="U35" s="4">
        <f t="shared" si="4"/>
        <v>0</v>
      </c>
      <c r="V35" s="4">
        <f t="shared" si="4"/>
        <v>0</v>
      </c>
      <c r="W35" s="4">
        <f t="shared" si="4"/>
        <v>0</v>
      </c>
      <c r="X35" s="4">
        <f t="shared" si="4"/>
        <v>0</v>
      </c>
      <c r="Y35" s="4">
        <f t="shared" si="4"/>
        <v>0</v>
      </c>
      <c r="Z35" s="4">
        <f t="shared" si="4"/>
        <v>0</v>
      </c>
      <c r="AA35" s="4">
        <f t="shared" si="4"/>
        <v>0</v>
      </c>
      <c r="AB35" s="4">
        <f t="shared" si="4"/>
        <v>0</v>
      </c>
      <c r="AC35" s="4">
        <f t="shared" si="4"/>
        <v>0</v>
      </c>
      <c r="AD35" s="4">
        <f t="shared" si="4"/>
        <v>0</v>
      </c>
      <c r="AE35" s="4">
        <f t="shared" si="4"/>
        <v>0</v>
      </c>
      <c r="AF35" s="4">
        <f>IF($O35=AF$17,$N35,0)</f>
        <v>0</v>
      </c>
      <c r="AG35" s="4">
        <f>IF($O35=AG$17,$N35,0)</f>
        <v>0</v>
      </c>
    </row>
    <row r="36" spans="1:28" ht="12.75" customHeight="1">
      <c r="A36" s="141" t="s">
        <v>65</v>
      </c>
      <c r="B36" s="141"/>
      <c r="C36" s="218"/>
      <c r="D36" s="135"/>
      <c r="E36" s="136"/>
      <c r="F36" s="137"/>
      <c r="G36" s="137"/>
      <c r="H36" s="163"/>
      <c r="I36" s="138"/>
      <c r="J36" s="139"/>
      <c r="K36" s="139"/>
      <c r="L36" s="138"/>
      <c r="M36" s="136"/>
      <c r="N36" s="139"/>
      <c r="O36" s="219"/>
      <c r="P36" s="27"/>
      <c r="Q36" s="27"/>
      <c r="R36" s="4"/>
      <c r="AB36" s="36"/>
    </row>
    <row r="37" spans="1:33" ht="25.5" customHeight="1">
      <c r="A37" s="147" t="s">
        <v>83</v>
      </c>
      <c r="B37" s="234"/>
      <c r="C37" s="1"/>
      <c r="D37" s="217"/>
      <c r="E37" s="78">
        <f>1/12*(0.95*C37+$B$13*D37)*43560</f>
        <v>0</v>
      </c>
      <c r="F37" s="247" t="s">
        <v>75</v>
      </c>
      <c r="G37" s="248"/>
      <c r="H37" s="221">
        <v>1</v>
      </c>
      <c r="I37" s="37">
        <f>AC45</f>
        <v>0</v>
      </c>
      <c r="J37" s="128">
        <f t="shared" si="3"/>
        <v>0</v>
      </c>
      <c r="K37" s="156" t="s">
        <v>30</v>
      </c>
      <c r="L37" s="111"/>
      <c r="M37" s="79">
        <f>IF(L37*H37&lt;=J37,L37*H37,J37)</f>
        <v>0</v>
      </c>
      <c r="N37" s="154">
        <f t="shared" si="0"/>
        <v>0</v>
      </c>
      <c r="O37" s="80"/>
      <c r="P37" s="27"/>
      <c r="Q37" s="27"/>
      <c r="R37" s="4"/>
      <c r="S37" s="4">
        <f>IF($O37=S$17,$N37,0)</f>
        <v>0</v>
      </c>
      <c r="T37" s="4">
        <f aca="true" t="shared" si="5" ref="T37:AF37">IF($O37=T$17,$N37,0)</f>
        <v>0</v>
      </c>
      <c r="U37" s="4">
        <f t="shared" si="5"/>
        <v>0</v>
      </c>
      <c r="V37" s="4">
        <f t="shared" si="5"/>
        <v>0</v>
      </c>
      <c r="W37" s="4">
        <f t="shared" si="5"/>
        <v>0</v>
      </c>
      <c r="X37" s="4">
        <f t="shared" si="5"/>
        <v>0</v>
      </c>
      <c r="Y37" s="4">
        <f t="shared" si="5"/>
        <v>0</v>
      </c>
      <c r="Z37" s="4">
        <f t="shared" si="5"/>
        <v>0</v>
      </c>
      <c r="AA37" s="4">
        <f t="shared" si="5"/>
        <v>0</v>
      </c>
      <c r="AB37" s="4">
        <f t="shared" si="5"/>
        <v>0</v>
      </c>
      <c r="AC37" s="4">
        <f t="shared" si="5"/>
        <v>0</v>
      </c>
      <c r="AD37" s="4">
        <f t="shared" si="5"/>
        <v>0</v>
      </c>
      <c r="AE37" s="4">
        <f t="shared" si="5"/>
        <v>0</v>
      </c>
      <c r="AF37" s="4">
        <f t="shared" si="5"/>
        <v>0</v>
      </c>
      <c r="AG37" s="4">
        <f>IF($O37=AG$17,$N37,0)</f>
        <v>0</v>
      </c>
    </row>
    <row r="38" spans="1:28" ht="12.75">
      <c r="A38" s="144" t="s">
        <v>66</v>
      </c>
      <c r="B38" s="141"/>
      <c r="C38" s="218"/>
      <c r="D38" s="135"/>
      <c r="E38" s="136"/>
      <c r="F38" s="137"/>
      <c r="G38" s="137"/>
      <c r="H38" s="163"/>
      <c r="I38" s="138"/>
      <c r="J38" s="139"/>
      <c r="K38" s="139"/>
      <c r="L38" s="138"/>
      <c r="M38" s="136"/>
      <c r="N38" s="139"/>
      <c r="O38" s="219"/>
      <c r="P38" s="27"/>
      <c r="Q38" s="27"/>
      <c r="R38" s="4"/>
      <c r="AB38" s="36"/>
    </row>
    <row r="39" spans="1:33" ht="25.5" customHeight="1">
      <c r="A39" s="147" t="s">
        <v>84</v>
      </c>
      <c r="B39" s="234"/>
      <c r="C39" s="1"/>
      <c r="D39" s="217"/>
      <c r="E39" s="78">
        <f>1/12*(0.95*C39+$B$13*D39)*43560</f>
        <v>0</v>
      </c>
      <c r="F39" s="247" t="s">
        <v>132</v>
      </c>
      <c r="G39" s="248"/>
      <c r="H39" s="221">
        <v>0.1</v>
      </c>
      <c r="I39" s="37">
        <f>AD45</f>
        <v>0</v>
      </c>
      <c r="J39" s="37">
        <f t="shared" si="3"/>
        <v>0</v>
      </c>
      <c r="K39" s="156" t="s">
        <v>30</v>
      </c>
      <c r="L39" s="37" t="s">
        <v>30</v>
      </c>
      <c r="M39" s="79">
        <f>J39*H39</f>
        <v>0</v>
      </c>
      <c r="N39" s="154">
        <f t="shared" si="0"/>
        <v>0</v>
      </c>
      <c r="O39" s="80"/>
      <c r="P39" s="27"/>
      <c r="Q39" s="27"/>
      <c r="R39" s="4"/>
      <c r="S39" s="4">
        <f>IF($O39=S$17,$N39,0)</f>
        <v>0</v>
      </c>
      <c r="T39" s="4">
        <f aca="true" t="shared" si="6" ref="T39:AF39">IF($O39=T$17,$N39,0)</f>
        <v>0</v>
      </c>
      <c r="U39" s="4">
        <f t="shared" si="6"/>
        <v>0</v>
      </c>
      <c r="V39" s="4">
        <f t="shared" si="6"/>
        <v>0</v>
      </c>
      <c r="W39" s="4">
        <f t="shared" si="6"/>
        <v>0</v>
      </c>
      <c r="X39" s="4">
        <f t="shared" si="6"/>
        <v>0</v>
      </c>
      <c r="Y39" s="4">
        <f t="shared" si="6"/>
        <v>0</v>
      </c>
      <c r="Z39" s="4">
        <f t="shared" si="6"/>
        <v>0</v>
      </c>
      <c r="AA39" s="4">
        <f t="shared" si="6"/>
        <v>0</v>
      </c>
      <c r="AB39" s="4">
        <f t="shared" si="6"/>
        <v>0</v>
      </c>
      <c r="AC39" s="4">
        <f t="shared" si="6"/>
        <v>0</v>
      </c>
      <c r="AD39" s="4">
        <f t="shared" si="6"/>
        <v>0</v>
      </c>
      <c r="AE39" s="4">
        <f t="shared" si="6"/>
        <v>0</v>
      </c>
      <c r="AF39" s="4">
        <f t="shared" si="6"/>
        <v>0</v>
      </c>
      <c r="AG39" s="4">
        <f>IF($O39=AG$17,$N39,0)</f>
        <v>0</v>
      </c>
    </row>
    <row r="40" spans="1:28" ht="12.75">
      <c r="A40" s="145" t="s">
        <v>67</v>
      </c>
      <c r="B40" s="145"/>
      <c r="C40" s="218"/>
      <c r="D40" s="135"/>
      <c r="E40" s="136"/>
      <c r="F40" s="137"/>
      <c r="G40" s="137"/>
      <c r="H40" s="163"/>
      <c r="I40" s="138"/>
      <c r="J40" s="139"/>
      <c r="K40" s="139"/>
      <c r="L40" s="138"/>
      <c r="M40" s="136"/>
      <c r="N40" s="139"/>
      <c r="O40" s="219"/>
      <c r="P40" s="27"/>
      <c r="Q40" s="27"/>
      <c r="R40" s="4"/>
      <c r="AB40" s="36"/>
    </row>
    <row r="41" spans="1:28" ht="38.25" customHeight="1">
      <c r="A41" s="149" t="s">
        <v>85</v>
      </c>
      <c r="B41" s="235"/>
      <c r="C41" s="1"/>
      <c r="D41" s="217"/>
      <c r="E41" s="78">
        <f>1/12*(0.95*C41+$B$13*D41)*43560</f>
        <v>0</v>
      </c>
      <c r="F41" s="247" t="s">
        <v>101</v>
      </c>
      <c r="G41" s="248"/>
      <c r="H41" s="221" t="s">
        <v>30</v>
      </c>
      <c r="I41" s="37">
        <f>AE45</f>
        <v>0</v>
      </c>
      <c r="J41" s="37">
        <f t="shared" si="3"/>
        <v>0</v>
      </c>
      <c r="K41" s="215"/>
      <c r="L41" s="76" t="s">
        <v>30</v>
      </c>
      <c r="M41" s="79">
        <f>IF(K41*0.09&lt;=J41,K41*0.09,J41)</f>
        <v>0</v>
      </c>
      <c r="N41" s="154">
        <f t="shared" si="0"/>
        <v>0</v>
      </c>
      <c r="O41" s="220" t="s">
        <v>30</v>
      </c>
      <c r="P41" s="27"/>
      <c r="Q41" s="27"/>
      <c r="R41" s="4"/>
      <c r="AB41" s="36"/>
    </row>
    <row r="42" spans="1:28" ht="38.25" customHeight="1">
      <c r="A42" s="149" t="s">
        <v>86</v>
      </c>
      <c r="B42" s="235"/>
      <c r="C42" s="1"/>
      <c r="D42" s="217"/>
      <c r="E42" s="78">
        <f>1/12*(0.95*C42+$B$13*D42)*43560</f>
        <v>0</v>
      </c>
      <c r="F42" s="247" t="s">
        <v>102</v>
      </c>
      <c r="G42" s="248"/>
      <c r="H42" s="221" t="s">
        <v>30</v>
      </c>
      <c r="I42" s="37">
        <f>AF45</f>
        <v>0</v>
      </c>
      <c r="J42" s="37">
        <f t="shared" si="3"/>
        <v>0</v>
      </c>
      <c r="K42" s="215"/>
      <c r="L42" s="76" t="s">
        <v>30</v>
      </c>
      <c r="M42" s="79">
        <f>IF(K42*0.06&lt;=J42,K42*0.06,J42)</f>
        <v>0</v>
      </c>
      <c r="N42" s="154">
        <f t="shared" si="0"/>
        <v>0</v>
      </c>
      <c r="O42" s="220" t="s">
        <v>30</v>
      </c>
      <c r="P42" s="27"/>
      <c r="Q42" s="27"/>
      <c r="R42" s="4"/>
      <c r="AB42" s="36"/>
    </row>
    <row r="43" spans="1:28" ht="38.25" customHeight="1">
      <c r="A43" s="148" t="s">
        <v>137</v>
      </c>
      <c r="B43" s="236"/>
      <c r="C43" s="1"/>
      <c r="D43" s="217"/>
      <c r="E43" s="78">
        <f>1/12*(0.95*C43+$B$13*D43)*43560</f>
        <v>0</v>
      </c>
      <c r="F43" s="247" t="s">
        <v>102</v>
      </c>
      <c r="G43" s="248"/>
      <c r="H43" s="221" t="s">
        <v>30</v>
      </c>
      <c r="I43" s="37">
        <f>AG45</f>
        <v>0</v>
      </c>
      <c r="J43" s="37">
        <f t="shared" si="3"/>
        <v>0</v>
      </c>
      <c r="K43" s="215"/>
      <c r="L43" s="76" t="s">
        <v>30</v>
      </c>
      <c r="M43" s="79">
        <f>IF(K43*0.06&lt;=J43,K43*0.06,J43)</f>
        <v>0</v>
      </c>
      <c r="N43" s="154">
        <f t="shared" si="0"/>
        <v>0</v>
      </c>
      <c r="O43" s="220" t="s">
        <v>30</v>
      </c>
      <c r="P43" s="27"/>
      <c r="Q43" s="27"/>
      <c r="R43" s="4"/>
      <c r="AB43" s="36"/>
    </row>
    <row r="44" spans="1:62" s="9" customFormat="1" ht="25.5" customHeight="1">
      <c r="A44" s="252" t="s">
        <v>7</v>
      </c>
      <c r="B44" s="253"/>
      <c r="C44" s="81">
        <f>SUM(C17:C43)</f>
        <v>0</v>
      </c>
      <c r="D44" s="82">
        <f>SUM(D17:D43)</f>
        <v>0</v>
      </c>
      <c r="E44" s="94"/>
      <c r="F44" s="249" t="s">
        <v>124</v>
      </c>
      <c r="G44" s="249"/>
      <c r="H44" s="249"/>
      <c r="I44" s="249"/>
      <c r="J44" s="249"/>
      <c r="K44" s="249"/>
      <c r="L44" s="257"/>
      <c r="M44" s="150">
        <f>SUM(M17:M43)</f>
        <v>0</v>
      </c>
      <c r="N44" s="244" t="s">
        <v>123</v>
      </c>
      <c r="O44" s="245"/>
      <c r="P44" s="205"/>
      <c r="Q44" s="40"/>
      <c r="R44" s="40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</row>
    <row r="45" spans="1:33" ht="12.75">
      <c r="A45" s="63"/>
      <c r="B45" s="63"/>
      <c r="C45" s="64"/>
      <c r="D45" s="64"/>
      <c r="E45" s="64"/>
      <c r="F45" s="5"/>
      <c r="G45" s="5"/>
      <c r="H45" s="5"/>
      <c r="R45" s="40" t="s">
        <v>7</v>
      </c>
      <c r="S45" s="40">
        <f aca="true" t="shared" si="7" ref="S45:AG45">SUM(S17:S44)</f>
        <v>0</v>
      </c>
      <c r="T45" s="40">
        <f t="shared" si="7"/>
        <v>0</v>
      </c>
      <c r="U45" s="40">
        <f t="shared" si="7"/>
        <v>0</v>
      </c>
      <c r="V45" s="40">
        <f t="shared" si="7"/>
        <v>0</v>
      </c>
      <c r="W45" s="40">
        <f t="shared" si="7"/>
        <v>0</v>
      </c>
      <c r="X45" s="40">
        <f t="shared" si="7"/>
        <v>0</v>
      </c>
      <c r="Y45" s="40">
        <f t="shared" si="7"/>
        <v>0</v>
      </c>
      <c r="Z45" s="40">
        <f t="shared" si="7"/>
        <v>0</v>
      </c>
      <c r="AA45" s="40">
        <f t="shared" si="7"/>
        <v>0</v>
      </c>
      <c r="AB45" s="40">
        <f t="shared" si="7"/>
        <v>0</v>
      </c>
      <c r="AC45" s="40">
        <f t="shared" si="7"/>
        <v>0</v>
      </c>
      <c r="AD45" s="40">
        <f t="shared" si="7"/>
        <v>0</v>
      </c>
      <c r="AE45" s="40">
        <f t="shared" si="7"/>
        <v>0</v>
      </c>
      <c r="AF45" s="40">
        <f t="shared" si="7"/>
        <v>0</v>
      </c>
      <c r="AG45" s="40">
        <f t="shared" si="7"/>
        <v>0</v>
      </c>
    </row>
    <row r="46" spans="1:28" ht="12.75">
      <c r="A46" s="63"/>
      <c r="B46" s="63"/>
      <c r="C46" s="64"/>
      <c r="D46" s="64"/>
      <c r="E46" s="64"/>
      <c r="F46" s="5"/>
      <c r="G46" s="5"/>
      <c r="H46" s="5"/>
      <c r="I46" s="256" t="s">
        <v>149</v>
      </c>
      <c r="J46" s="256"/>
      <c r="K46" s="256"/>
      <c r="L46" s="256"/>
      <c r="M46" s="226">
        <f>F15-M44</f>
        <v>0</v>
      </c>
      <c r="R46" s="5"/>
      <c r="T46" s="6"/>
      <c r="U46" s="6"/>
      <c r="V46" s="6"/>
      <c r="W46" s="6"/>
      <c r="AB46" s="36"/>
    </row>
    <row r="47" spans="1:28" ht="12.75">
      <c r="A47" s="15"/>
      <c r="B47" s="15"/>
      <c r="C47" s="77"/>
      <c r="D47" s="64"/>
      <c r="E47" s="64"/>
      <c r="F47" s="5"/>
      <c r="G47" s="5"/>
      <c r="H47" s="5"/>
      <c r="L47" s="5"/>
      <c r="M47" s="5"/>
      <c r="R47" s="5"/>
      <c r="T47" s="6"/>
      <c r="U47" s="6"/>
      <c r="V47" s="6"/>
      <c r="W47" s="6"/>
      <c r="AB47" s="36"/>
    </row>
    <row r="48" spans="1:28" ht="12.75">
      <c r="A48" s="246"/>
      <c r="B48" s="246"/>
      <c r="C48" s="246"/>
      <c r="D48" s="246"/>
      <c r="E48" s="100"/>
      <c r="F48" s="5"/>
      <c r="G48" s="5"/>
      <c r="H48" s="5"/>
      <c r="L48" s="5"/>
      <c r="M48" s="5"/>
      <c r="R48" s="5"/>
      <c r="T48" s="6"/>
      <c r="U48" s="6"/>
      <c r="V48" s="6"/>
      <c r="W48" s="6"/>
      <c r="AB48" s="36"/>
    </row>
    <row r="49" spans="1:28" ht="12.75">
      <c r="A49" s="246"/>
      <c r="B49" s="246"/>
      <c r="C49" s="246"/>
      <c r="D49" s="246"/>
      <c r="E49" s="101"/>
      <c r="F49" s="5"/>
      <c r="G49" s="5"/>
      <c r="H49" s="5"/>
      <c r="L49" s="5"/>
      <c r="M49" s="5"/>
      <c r="R49" s="5"/>
      <c r="T49" s="6"/>
      <c r="U49" s="6"/>
      <c r="V49" s="6"/>
      <c r="W49" s="6"/>
      <c r="AB49" s="36"/>
    </row>
    <row r="50" spans="1:28" ht="12.75" hidden="1">
      <c r="A50" s="96" t="s">
        <v>88</v>
      </c>
      <c r="B50" s="229"/>
      <c r="C50" s="64"/>
      <c r="D50" s="35"/>
      <c r="E50" s="35"/>
      <c r="F50" s="35"/>
      <c r="G50" s="35"/>
      <c r="H50" s="35"/>
      <c r="I50" s="35"/>
      <c r="K50" s="161"/>
      <c r="L50" s="161"/>
      <c r="M50" s="161"/>
      <c r="N50" s="161"/>
      <c r="O50" s="161"/>
      <c r="R50" s="5"/>
      <c r="T50" s="6"/>
      <c r="U50" s="6"/>
      <c r="V50" s="6"/>
      <c r="W50" s="6"/>
      <c r="AB50" s="36"/>
    </row>
    <row r="51" spans="1:28" ht="25.5" hidden="1">
      <c r="A51" s="146" t="s">
        <v>76</v>
      </c>
      <c r="B51" s="230"/>
      <c r="C51" s="64"/>
      <c r="D51" s="64"/>
      <c r="E51" s="5"/>
      <c r="L51" s="5"/>
      <c r="M51" s="5"/>
      <c r="R51" s="5"/>
      <c r="T51" s="6"/>
      <c r="U51" s="6"/>
      <c r="V51" s="6"/>
      <c r="W51" s="6"/>
      <c r="AB51" s="36"/>
    </row>
    <row r="52" spans="1:28" ht="12.75" hidden="1">
      <c r="A52" s="146" t="s">
        <v>77</v>
      </c>
      <c r="B52" s="230"/>
      <c r="C52" s="64"/>
      <c r="L52" s="5"/>
      <c r="M52" s="5"/>
      <c r="R52" s="5"/>
      <c r="T52" s="6"/>
      <c r="U52" s="6"/>
      <c r="V52" s="6"/>
      <c r="W52" s="6"/>
      <c r="AB52" s="36"/>
    </row>
    <row r="53" spans="1:28" ht="12.75" hidden="1">
      <c r="A53" s="146" t="s">
        <v>78</v>
      </c>
      <c r="B53" s="230"/>
      <c r="C53" s="64"/>
      <c r="D53" s="64"/>
      <c r="E53" s="157"/>
      <c r="F53" s="5"/>
      <c r="I53" s="159"/>
      <c r="L53" s="157"/>
      <c r="M53" s="5"/>
      <c r="O53" s="157"/>
      <c r="R53" s="5"/>
      <c r="T53" s="6"/>
      <c r="U53" s="6"/>
      <c r="V53" s="6"/>
      <c r="W53" s="6"/>
      <c r="AB53" s="36"/>
    </row>
    <row r="54" spans="1:28" ht="12.75" hidden="1">
      <c r="A54" s="146" t="s">
        <v>79</v>
      </c>
      <c r="B54" s="230"/>
      <c r="C54" s="64"/>
      <c r="D54" s="64"/>
      <c r="E54" s="157"/>
      <c r="F54" s="5"/>
      <c r="I54" s="159"/>
      <c r="L54" s="157"/>
      <c r="M54" s="5"/>
      <c r="O54" s="157"/>
      <c r="R54" s="5"/>
      <c r="T54" s="6"/>
      <c r="U54" s="6"/>
      <c r="V54" s="6"/>
      <c r="W54" s="6"/>
      <c r="AB54" s="36"/>
    </row>
    <row r="55" spans="1:28" ht="12.75" hidden="1">
      <c r="A55" s="147" t="s">
        <v>80</v>
      </c>
      <c r="B55" s="43"/>
      <c r="C55" s="64"/>
      <c r="D55" s="64"/>
      <c r="E55" s="157"/>
      <c r="F55" s="5"/>
      <c r="I55" s="159"/>
      <c r="L55" s="157"/>
      <c r="M55" s="5"/>
      <c r="O55" s="157"/>
      <c r="R55" s="5"/>
      <c r="T55" s="6"/>
      <c r="U55" s="6"/>
      <c r="V55" s="6"/>
      <c r="W55" s="6"/>
      <c r="AB55" s="36"/>
    </row>
    <row r="56" spans="1:28" ht="12.75" hidden="1">
      <c r="A56" s="147" t="s">
        <v>81</v>
      </c>
      <c r="B56" s="43"/>
      <c r="C56" s="64"/>
      <c r="D56" s="64"/>
      <c r="E56" s="157"/>
      <c r="F56" s="5"/>
      <c r="I56" s="159"/>
      <c r="L56" s="157"/>
      <c r="M56" s="5"/>
      <c r="O56" s="157"/>
      <c r="R56" s="5"/>
      <c r="T56" s="6"/>
      <c r="U56" s="6"/>
      <c r="V56" s="6"/>
      <c r="W56" s="6"/>
      <c r="AB56" s="36"/>
    </row>
    <row r="57" spans="1:28" ht="12.75" hidden="1">
      <c r="A57" s="147" t="s">
        <v>82</v>
      </c>
      <c r="B57" s="43"/>
      <c r="C57" s="64"/>
      <c r="D57" s="64"/>
      <c r="E57" s="157"/>
      <c r="F57" s="5"/>
      <c r="I57" s="159"/>
      <c r="L57" s="157"/>
      <c r="M57" s="5"/>
      <c r="O57" s="157"/>
      <c r="R57" s="5"/>
      <c r="T57" s="6"/>
      <c r="U57" s="6"/>
      <c r="V57" s="6"/>
      <c r="W57" s="6"/>
      <c r="AB57" s="36"/>
    </row>
    <row r="58" spans="1:28" ht="12.75" hidden="1">
      <c r="A58" s="147" t="s">
        <v>141</v>
      </c>
      <c r="B58" s="43"/>
      <c r="C58" s="64"/>
      <c r="D58" s="64"/>
      <c r="E58" s="157"/>
      <c r="F58" s="5"/>
      <c r="I58" s="159"/>
      <c r="L58" s="157"/>
      <c r="M58" s="5"/>
      <c r="O58" s="157"/>
      <c r="R58" s="5"/>
      <c r="T58" s="6"/>
      <c r="U58" s="6"/>
      <c r="V58" s="6"/>
      <c r="W58" s="6"/>
      <c r="AB58" s="36"/>
    </row>
    <row r="59" spans="1:28" ht="12.75" hidden="1">
      <c r="A59" s="147" t="s">
        <v>142</v>
      </c>
      <c r="B59" s="43"/>
      <c r="C59" s="64"/>
      <c r="D59" s="64"/>
      <c r="E59" s="157"/>
      <c r="F59" s="5"/>
      <c r="I59" s="159"/>
      <c r="L59" s="157"/>
      <c r="M59" s="5"/>
      <c r="O59" s="157"/>
      <c r="R59" s="5"/>
      <c r="T59" s="6"/>
      <c r="U59" s="6"/>
      <c r="V59" s="6"/>
      <c r="W59" s="6"/>
      <c r="AB59" s="36"/>
    </row>
    <row r="60" spans="1:28" ht="12.75" hidden="1">
      <c r="A60" s="147" t="s">
        <v>83</v>
      </c>
      <c r="B60" s="43"/>
      <c r="C60" s="64"/>
      <c r="D60" s="64"/>
      <c r="E60" s="157"/>
      <c r="F60" s="5"/>
      <c r="I60" s="159"/>
      <c r="L60" s="157"/>
      <c r="M60" s="5"/>
      <c r="O60" s="157"/>
      <c r="R60" s="5"/>
      <c r="T60" s="6"/>
      <c r="U60" s="6"/>
      <c r="V60" s="6"/>
      <c r="W60" s="6"/>
      <c r="AB60" s="36"/>
    </row>
    <row r="61" spans="1:28" ht="12.75" hidden="1">
      <c r="A61" s="152" t="s">
        <v>84</v>
      </c>
      <c r="B61" s="43"/>
      <c r="C61" s="64"/>
      <c r="D61" s="64"/>
      <c r="E61" s="157"/>
      <c r="F61" s="5"/>
      <c r="I61" s="159"/>
      <c r="L61" s="157"/>
      <c r="M61" s="5"/>
      <c r="O61" s="157"/>
      <c r="R61" s="5"/>
      <c r="T61" s="6"/>
      <c r="U61" s="6"/>
      <c r="V61" s="6"/>
      <c r="W61" s="6"/>
      <c r="AB61" s="36"/>
    </row>
    <row r="62" spans="1:28" ht="12.75" hidden="1">
      <c r="A62" s="153" t="s">
        <v>85</v>
      </c>
      <c r="B62" s="222"/>
      <c r="C62" s="64"/>
      <c r="D62" s="64"/>
      <c r="E62" s="157"/>
      <c r="F62" s="5"/>
      <c r="I62" s="159"/>
      <c r="L62" s="157"/>
      <c r="M62" s="5"/>
      <c r="O62" s="157"/>
      <c r="R62" s="5"/>
      <c r="T62" s="6"/>
      <c r="U62" s="6"/>
      <c r="V62" s="6"/>
      <c r="W62" s="6"/>
      <c r="AB62" s="36"/>
    </row>
    <row r="63" spans="1:28" ht="12.75" hidden="1">
      <c r="A63" s="153" t="s">
        <v>86</v>
      </c>
      <c r="B63" s="222"/>
      <c r="C63" s="64"/>
      <c r="D63" s="64"/>
      <c r="E63" s="157"/>
      <c r="F63" s="5"/>
      <c r="I63" s="159"/>
      <c r="L63" s="157"/>
      <c r="M63" s="5"/>
      <c r="O63" s="157"/>
      <c r="R63" s="5"/>
      <c r="T63" s="6"/>
      <c r="U63" s="6"/>
      <c r="V63" s="6"/>
      <c r="W63" s="6"/>
      <c r="AB63" s="36"/>
    </row>
    <row r="64" spans="1:28" ht="12.75" customHeight="1" hidden="1">
      <c r="A64" s="153" t="s">
        <v>87</v>
      </c>
      <c r="B64" s="222"/>
      <c r="C64" s="6"/>
      <c r="D64" s="64"/>
      <c r="E64" s="157"/>
      <c r="F64" s="6"/>
      <c r="I64" s="159"/>
      <c r="L64" s="157"/>
      <c r="M64" s="6"/>
      <c r="O64" s="157"/>
      <c r="P64" s="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36"/>
    </row>
    <row r="65" spans="1:28" ht="12.75">
      <c r="A65" s="87"/>
      <c r="B65" s="87"/>
      <c r="C65" s="6"/>
      <c r="D65" s="64"/>
      <c r="E65" s="157"/>
      <c r="F65" s="6"/>
      <c r="I65" s="159"/>
      <c r="L65" s="157"/>
      <c r="M65" s="6"/>
      <c r="O65" s="157"/>
      <c r="P65" s="64"/>
      <c r="Q65" s="64"/>
      <c r="R65" s="64"/>
      <c r="S65" s="6"/>
      <c r="AB65" s="36"/>
    </row>
    <row r="66" spans="1:28" ht="12.75">
      <c r="A66" s="87"/>
      <c r="B66" s="87"/>
      <c r="C66" s="36"/>
      <c r="D66" s="64"/>
      <c r="E66" s="157"/>
      <c r="F66" s="36"/>
      <c r="I66" s="159"/>
      <c r="L66" s="157"/>
      <c r="M66" s="34"/>
      <c r="O66" s="157"/>
      <c r="P66" s="64"/>
      <c r="Q66" s="64"/>
      <c r="R66" s="64"/>
      <c r="T66" s="109"/>
      <c r="U66" s="109"/>
      <c r="V66" s="109"/>
      <c r="W66" s="109"/>
      <c r="AB66" s="36"/>
    </row>
    <row r="67" spans="1:49" ht="18">
      <c r="A67" s="88"/>
      <c r="B67" s="88"/>
      <c r="C67" s="36"/>
      <c r="D67" s="64"/>
      <c r="E67" s="157"/>
      <c r="F67" s="36"/>
      <c r="I67" s="159"/>
      <c r="L67" s="157"/>
      <c r="M67" s="34"/>
      <c r="O67" s="157"/>
      <c r="P67" s="64"/>
      <c r="Q67" s="64"/>
      <c r="R67" s="64"/>
      <c r="T67" s="109"/>
      <c r="U67" s="109"/>
      <c r="V67" s="109"/>
      <c r="W67" s="10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</row>
    <row r="68" spans="1:49" ht="18">
      <c r="A68" s="87"/>
      <c r="B68" s="87"/>
      <c r="C68" s="36"/>
      <c r="D68" s="64"/>
      <c r="E68" s="200"/>
      <c r="F68" s="87"/>
      <c r="I68" s="159"/>
      <c r="L68" s="200"/>
      <c r="M68" s="34"/>
      <c r="O68" s="200"/>
      <c r="P68" s="64"/>
      <c r="Q68" s="64"/>
      <c r="R68" s="64"/>
      <c r="T68" s="109"/>
      <c r="U68" s="109"/>
      <c r="V68" s="109"/>
      <c r="W68" s="109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</row>
    <row r="69" spans="1:19" ht="26.25" customHeight="1">
      <c r="A69" s="88"/>
      <c r="B69" s="88"/>
      <c r="C69" s="36"/>
      <c r="D69" s="64"/>
      <c r="E69" s="200"/>
      <c r="F69" s="87"/>
      <c r="I69" s="159"/>
      <c r="L69" s="200"/>
      <c r="M69" s="36"/>
      <c r="O69" s="200"/>
      <c r="P69" s="64"/>
      <c r="Q69" s="64"/>
      <c r="R69" s="64"/>
      <c r="S69" s="6"/>
    </row>
    <row r="70" spans="1:19" ht="26.25" customHeight="1">
      <c r="A70" s="88"/>
      <c r="B70" s="88"/>
      <c r="C70" s="36"/>
      <c r="D70" s="64"/>
      <c r="E70" s="200"/>
      <c r="F70" s="87"/>
      <c r="I70" s="159"/>
      <c r="L70" s="200"/>
      <c r="M70" s="36"/>
      <c r="O70" s="200"/>
      <c r="P70" s="38"/>
      <c r="Q70" s="4"/>
      <c r="R70" s="6"/>
      <c r="S70" s="6"/>
    </row>
    <row r="71" spans="1:23" ht="26.25" customHeight="1">
      <c r="A71" s="87"/>
      <c r="B71" s="87"/>
      <c r="C71" s="36"/>
      <c r="D71" s="88"/>
      <c r="E71" s="200"/>
      <c r="F71" s="88"/>
      <c r="I71" s="159"/>
      <c r="L71" s="200"/>
      <c r="M71" s="36"/>
      <c r="O71" s="200"/>
      <c r="P71" s="4"/>
      <c r="Q71" s="6"/>
      <c r="R71" s="6"/>
      <c r="S71" s="6"/>
      <c r="T71" s="109"/>
      <c r="U71" s="109"/>
      <c r="V71" s="109"/>
      <c r="W71" s="109"/>
    </row>
    <row r="72" spans="1:23" ht="26.25" customHeight="1">
      <c r="A72" s="89"/>
      <c r="B72" s="89"/>
      <c r="C72" s="36"/>
      <c r="D72" s="88"/>
      <c r="E72" s="200"/>
      <c r="F72" s="88"/>
      <c r="I72" s="159"/>
      <c r="L72" s="200"/>
      <c r="M72" s="36"/>
      <c r="O72" s="200"/>
      <c r="P72" s="4"/>
      <c r="Q72" s="6"/>
      <c r="R72" s="6"/>
      <c r="S72" s="6"/>
      <c r="T72" s="109"/>
      <c r="U72" s="109"/>
      <c r="V72" s="109"/>
      <c r="W72" s="109"/>
    </row>
    <row r="73" spans="1:23" ht="12.75" customHeight="1">
      <c r="A73" s="89"/>
      <c r="B73" s="89"/>
      <c r="C73" s="36"/>
      <c r="D73" s="88"/>
      <c r="E73" s="200"/>
      <c r="F73" s="87"/>
      <c r="I73" s="159"/>
      <c r="L73" s="200"/>
      <c r="M73" s="36"/>
      <c r="O73" s="200"/>
      <c r="P73" s="4"/>
      <c r="Q73" s="6"/>
      <c r="R73" s="6"/>
      <c r="S73" s="6"/>
      <c r="T73" s="109"/>
      <c r="U73" s="109"/>
      <c r="V73" s="109"/>
      <c r="W73" s="109"/>
    </row>
    <row r="74" spans="1:23" ht="12.75" customHeight="1">
      <c r="A74" s="87"/>
      <c r="B74" s="87"/>
      <c r="C74" s="42"/>
      <c r="D74" s="88"/>
      <c r="E74" s="200"/>
      <c r="F74" s="89"/>
      <c r="I74" s="159"/>
      <c r="L74" s="200"/>
      <c r="M74" s="42"/>
      <c r="O74" s="200"/>
      <c r="P74" s="4"/>
      <c r="Q74" s="6"/>
      <c r="R74" s="6"/>
      <c r="S74" s="6"/>
      <c r="T74" s="109"/>
      <c r="U74" s="109"/>
      <c r="V74" s="109"/>
      <c r="W74" s="109"/>
    </row>
    <row r="75" spans="1:19" ht="12.75">
      <c r="A75" s="87"/>
      <c r="B75" s="87"/>
      <c r="C75" s="36"/>
      <c r="D75" s="88"/>
      <c r="E75" s="200"/>
      <c r="F75" s="89"/>
      <c r="I75" s="159"/>
      <c r="L75" s="200"/>
      <c r="M75" s="42"/>
      <c r="O75" s="200"/>
      <c r="P75" s="4"/>
      <c r="Q75" s="6"/>
      <c r="R75" s="6"/>
      <c r="S75" s="6"/>
    </row>
    <row r="76" spans="1:19" ht="12.75" customHeight="1">
      <c r="A76" s="87"/>
      <c r="B76" s="87"/>
      <c r="C76" s="36"/>
      <c r="D76" s="88"/>
      <c r="E76" s="200"/>
      <c r="F76" s="87"/>
      <c r="I76" s="159"/>
      <c r="L76" s="200"/>
      <c r="M76" s="36"/>
      <c r="O76" s="200"/>
      <c r="P76" s="38"/>
      <c r="Q76" s="4"/>
      <c r="R76" s="6"/>
      <c r="S76" s="6"/>
    </row>
    <row r="77" spans="1:23" ht="12.75" customHeight="1">
      <c r="A77" s="87"/>
      <c r="B77" s="87"/>
      <c r="C77" s="36"/>
      <c r="D77" s="88"/>
      <c r="E77" s="200"/>
      <c r="F77" s="87"/>
      <c r="I77" s="159"/>
      <c r="L77" s="200"/>
      <c r="M77" s="36"/>
      <c r="O77" s="200"/>
      <c r="P77" s="4"/>
      <c r="Q77" s="6"/>
      <c r="R77" s="6"/>
      <c r="S77" s="6"/>
      <c r="T77" s="109"/>
      <c r="U77" s="109"/>
      <c r="V77" s="109"/>
      <c r="W77" s="109"/>
    </row>
    <row r="78" spans="1:23" ht="12.75" customHeight="1">
      <c r="A78" s="87"/>
      <c r="B78" s="87"/>
      <c r="C78" s="36"/>
      <c r="D78" s="88"/>
      <c r="E78" s="200"/>
      <c r="F78" s="87"/>
      <c r="I78" s="159"/>
      <c r="L78" s="200"/>
      <c r="M78" s="42"/>
      <c r="O78" s="200"/>
      <c r="P78" s="4"/>
      <c r="Q78" s="6"/>
      <c r="R78" s="6"/>
      <c r="S78" s="6"/>
      <c r="T78" s="109"/>
      <c r="U78" s="109"/>
      <c r="V78" s="109"/>
      <c r="W78" s="109"/>
    </row>
    <row r="79" spans="1:23" ht="12.75" customHeight="1">
      <c r="A79" s="87"/>
      <c r="B79" s="87"/>
      <c r="C79" s="36"/>
      <c r="D79" s="88"/>
      <c r="E79" s="200"/>
      <c r="F79" s="87"/>
      <c r="I79" s="159"/>
      <c r="L79" s="200"/>
      <c r="M79" s="36"/>
      <c r="O79" s="200"/>
      <c r="P79" s="4"/>
      <c r="Q79" s="6"/>
      <c r="R79" s="6"/>
      <c r="S79" s="6"/>
      <c r="T79" s="109"/>
      <c r="U79" s="109"/>
      <c r="V79" s="109"/>
      <c r="W79" s="109"/>
    </row>
    <row r="80" spans="1:23" ht="12.75" customHeight="1">
      <c r="A80" s="43"/>
      <c r="B80" s="43"/>
      <c r="C80" s="36"/>
      <c r="D80" s="88"/>
      <c r="E80" s="200"/>
      <c r="F80" s="87"/>
      <c r="I80" s="159"/>
      <c r="L80" s="200"/>
      <c r="M80" s="36"/>
      <c r="O80" s="200"/>
      <c r="P80" s="4"/>
      <c r="Q80" s="6"/>
      <c r="R80" s="6"/>
      <c r="S80" s="6"/>
      <c r="T80" s="109"/>
      <c r="U80" s="109"/>
      <c r="V80" s="109"/>
      <c r="W80" s="109"/>
    </row>
    <row r="81" spans="1:19" ht="12.75">
      <c r="A81" s="43"/>
      <c r="B81" s="43"/>
      <c r="C81" s="36"/>
      <c r="D81" s="88"/>
      <c r="E81" s="200"/>
      <c r="F81" s="87"/>
      <c r="I81" s="159"/>
      <c r="L81" s="200"/>
      <c r="M81" s="36"/>
      <c r="O81" s="200"/>
      <c r="P81" s="38"/>
      <c r="Q81" s="4"/>
      <c r="R81" s="6"/>
      <c r="S81" s="6"/>
    </row>
    <row r="82" spans="1:19" ht="12.75" customHeight="1">
      <c r="A82" s="43"/>
      <c r="B82" s="43"/>
      <c r="C82" s="36"/>
      <c r="D82" s="88"/>
      <c r="E82" s="200"/>
      <c r="F82" s="46"/>
      <c r="I82" s="159"/>
      <c r="L82" s="200"/>
      <c r="M82" s="36"/>
      <c r="O82" s="200"/>
      <c r="P82" s="38"/>
      <c r="Q82" s="4"/>
      <c r="R82" s="6"/>
      <c r="S82" s="6"/>
    </row>
    <row r="83" spans="1:23" ht="12.75" customHeight="1">
      <c r="A83" s="43"/>
      <c r="B83" s="43"/>
      <c r="C83" s="36"/>
      <c r="D83" s="88"/>
      <c r="E83" s="200"/>
      <c r="F83" s="36"/>
      <c r="I83" s="159"/>
      <c r="L83" s="200"/>
      <c r="M83" s="36"/>
      <c r="O83" s="200"/>
      <c r="P83" s="4"/>
      <c r="Q83" s="6"/>
      <c r="R83" s="6"/>
      <c r="S83" s="6"/>
      <c r="T83" s="109"/>
      <c r="U83" s="109"/>
      <c r="V83" s="109"/>
      <c r="W83" s="109"/>
    </row>
    <row r="84" spans="1:23" ht="12.75" customHeight="1">
      <c r="A84" s="36"/>
      <c r="B84" s="36"/>
      <c r="C84" s="36"/>
      <c r="D84" s="88"/>
      <c r="E84" s="200"/>
      <c r="F84" s="36"/>
      <c r="I84" s="159"/>
      <c r="L84" s="200"/>
      <c r="M84" s="36"/>
      <c r="O84" s="200"/>
      <c r="P84" s="4"/>
      <c r="Q84" s="4"/>
      <c r="R84" s="4"/>
      <c r="T84" s="109"/>
      <c r="U84" s="109"/>
      <c r="V84" s="109"/>
      <c r="W84" s="109"/>
    </row>
    <row r="85" spans="1:23" ht="12.75" customHeight="1">
      <c r="A85" s="36"/>
      <c r="B85" s="36"/>
      <c r="C85" s="36"/>
      <c r="D85" s="88"/>
      <c r="E85" s="200"/>
      <c r="F85" s="36"/>
      <c r="I85" s="159"/>
      <c r="L85" s="200"/>
      <c r="M85" s="36"/>
      <c r="O85" s="200"/>
      <c r="P85" s="4"/>
      <c r="Q85" s="4"/>
      <c r="R85" s="4"/>
      <c r="T85" s="109"/>
      <c r="U85" s="109"/>
      <c r="V85" s="109"/>
      <c r="W85" s="109"/>
    </row>
    <row r="86" spans="1:23" ht="12.75" customHeight="1">
      <c r="A86" s="36"/>
      <c r="B86" s="36"/>
      <c r="C86" s="36"/>
      <c r="D86" s="88"/>
      <c r="E86" s="200"/>
      <c r="F86" s="36"/>
      <c r="I86" s="159"/>
      <c r="L86" s="200"/>
      <c r="M86" s="36"/>
      <c r="O86" s="200"/>
      <c r="P86" s="4"/>
      <c r="Q86" s="4"/>
      <c r="R86" s="4"/>
      <c r="T86" s="109"/>
      <c r="U86" s="109"/>
      <c r="V86" s="109"/>
      <c r="W86" s="109"/>
    </row>
    <row r="87" spans="1:19" ht="12.75">
      <c r="A87" s="46"/>
      <c r="B87" s="46"/>
      <c r="C87" s="36"/>
      <c r="D87" s="88"/>
      <c r="E87" s="200"/>
      <c r="F87" s="36"/>
      <c r="I87" s="159"/>
      <c r="L87" s="200"/>
      <c r="M87" s="36"/>
      <c r="O87" s="200"/>
      <c r="R87" s="5"/>
      <c r="S87" s="6"/>
    </row>
    <row r="88" spans="1:62" s="6" customFormat="1" ht="12.75" customHeight="1">
      <c r="A88" s="46"/>
      <c r="B88" s="46"/>
      <c r="C88" s="36"/>
      <c r="D88" s="88"/>
      <c r="E88" s="200"/>
      <c r="F88" s="36"/>
      <c r="G88" s="4"/>
      <c r="H88" s="4"/>
      <c r="I88" s="159"/>
      <c r="K88" s="5"/>
      <c r="L88" s="200"/>
      <c r="M88" s="36"/>
      <c r="N88" s="5"/>
      <c r="O88" s="200"/>
      <c r="P88" s="5"/>
      <c r="Q88" s="5"/>
      <c r="R88" s="5"/>
      <c r="T88" s="4"/>
      <c r="U88" s="4"/>
      <c r="V88" s="4"/>
      <c r="W88" s="4"/>
      <c r="X88" s="4"/>
      <c r="Y88" s="4"/>
      <c r="Z88" s="4"/>
      <c r="AA88" s="4"/>
      <c r="AB88" s="4"/>
      <c r="AC88" s="36"/>
      <c r="AD88" s="36"/>
      <c r="AE88" s="36"/>
      <c r="AF88" s="36"/>
      <c r="AG88" s="36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</row>
    <row r="89" spans="1:19" ht="12.75" customHeight="1">
      <c r="A89" s="63"/>
      <c r="B89" s="63"/>
      <c r="C89" s="36"/>
      <c r="D89" s="88"/>
      <c r="E89" s="200"/>
      <c r="F89" s="36"/>
      <c r="I89" s="159"/>
      <c r="L89" s="200"/>
      <c r="M89" s="36"/>
      <c r="O89" s="200"/>
      <c r="R89" s="5"/>
      <c r="S89" s="6"/>
    </row>
    <row r="90" spans="1:18" ht="12.75" customHeight="1">
      <c r="A90" s="87"/>
      <c r="B90" s="87"/>
      <c r="C90" s="36"/>
      <c r="D90" s="88"/>
      <c r="E90" s="200"/>
      <c r="F90" s="36"/>
      <c r="I90" s="159"/>
      <c r="L90" s="200"/>
      <c r="M90" s="36"/>
      <c r="O90" s="200"/>
      <c r="R90" s="5"/>
    </row>
    <row r="91" spans="1:18" ht="12.75" customHeight="1">
      <c r="A91" s="87"/>
      <c r="B91" s="87"/>
      <c r="C91" s="36"/>
      <c r="D91" s="88"/>
      <c r="E91" s="200"/>
      <c r="F91" s="36"/>
      <c r="I91" s="159"/>
      <c r="L91" s="200"/>
      <c r="M91" s="36"/>
      <c r="O91" s="200"/>
      <c r="R91" s="5"/>
    </row>
    <row r="92" spans="1:63" s="36" customFormat="1" ht="27" customHeight="1">
      <c r="A92" s="87"/>
      <c r="B92" s="87"/>
      <c r="D92" s="88"/>
      <c r="E92" s="200"/>
      <c r="F92" s="87"/>
      <c r="G92" s="4"/>
      <c r="H92" s="4"/>
      <c r="I92" s="159"/>
      <c r="K92" s="5"/>
      <c r="L92" s="200"/>
      <c r="N92" s="5"/>
      <c r="O92" s="200"/>
      <c r="P92" s="34"/>
      <c r="Q92" s="34"/>
      <c r="R92" s="34"/>
      <c r="T92" s="27"/>
      <c r="U92" s="27"/>
      <c r="V92" s="27"/>
      <c r="W92" s="27"/>
      <c r="X92" s="27"/>
      <c r="Y92" s="27"/>
      <c r="Z92" s="27"/>
      <c r="AA92" s="27"/>
      <c r="AB92" s="27"/>
      <c r="BK92" s="4"/>
    </row>
    <row r="93" spans="1:63" s="36" customFormat="1" ht="12.75">
      <c r="A93" s="88"/>
      <c r="B93" s="88"/>
      <c r="D93" s="88"/>
      <c r="E93" s="200"/>
      <c r="F93" s="87"/>
      <c r="G93" s="4"/>
      <c r="H93" s="4"/>
      <c r="I93" s="159"/>
      <c r="K93" s="5"/>
      <c r="L93" s="200"/>
      <c r="N93" s="5"/>
      <c r="O93" s="200"/>
      <c r="P93" s="34"/>
      <c r="Q93" s="34"/>
      <c r="R93" s="34"/>
      <c r="BK93" s="4"/>
    </row>
    <row r="94" spans="1:63" s="36" customFormat="1" ht="12.75">
      <c r="A94" s="87"/>
      <c r="B94" s="87"/>
      <c r="D94" s="87"/>
      <c r="F94" s="87"/>
      <c r="K94" s="5"/>
      <c r="L94" s="200"/>
      <c r="N94" s="5"/>
      <c r="O94" s="200"/>
      <c r="P94" s="34"/>
      <c r="Q94" s="34"/>
      <c r="R94" s="34"/>
      <c r="BK94" s="4"/>
    </row>
    <row r="95" spans="1:63" s="36" customFormat="1" ht="12.75">
      <c r="A95" s="89"/>
      <c r="B95" s="89"/>
      <c r="D95" s="88"/>
      <c r="F95" s="88"/>
      <c r="K95" s="5"/>
      <c r="L95" s="200"/>
      <c r="N95" s="5"/>
      <c r="O95" s="200"/>
      <c r="BK95" s="4"/>
    </row>
    <row r="96" spans="1:63" s="36" customFormat="1" ht="12.75">
      <c r="A96" s="89"/>
      <c r="B96" s="89"/>
      <c r="D96" s="88"/>
      <c r="E96" s="42"/>
      <c r="F96" s="87"/>
      <c r="K96" s="5"/>
      <c r="L96" s="200"/>
      <c r="N96" s="5"/>
      <c r="O96" s="200"/>
      <c r="S96" s="27"/>
      <c r="BK96" s="4"/>
    </row>
    <row r="97" spans="1:63" s="36" customFormat="1" ht="39.75" customHeight="1">
      <c r="A97" s="87"/>
      <c r="B97" s="87"/>
      <c r="D97" s="87"/>
      <c r="E97" s="42"/>
      <c r="F97" s="89"/>
      <c r="K97" s="5"/>
      <c r="L97" s="200"/>
      <c r="N97" s="5"/>
      <c r="O97" s="200"/>
      <c r="S97" s="27"/>
      <c r="AC97" s="91"/>
      <c r="AD97" s="91"/>
      <c r="AE97" s="91"/>
      <c r="AF97" s="91"/>
      <c r="AG97" s="91"/>
      <c r="BK97" s="4"/>
    </row>
    <row r="98" spans="1:63" s="36" customFormat="1" ht="32.25" customHeight="1">
      <c r="A98" s="87"/>
      <c r="B98" s="87"/>
      <c r="D98" s="89"/>
      <c r="E98" s="42"/>
      <c r="F98" s="89"/>
      <c r="K98" s="5"/>
      <c r="L98" s="200"/>
      <c r="M98" s="42"/>
      <c r="N98" s="5"/>
      <c r="O98" s="200"/>
      <c r="S98" s="27"/>
      <c r="BK98" s="4"/>
    </row>
    <row r="99" spans="1:63" s="36" customFormat="1" ht="12.75">
      <c r="A99" s="87"/>
      <c r="B99" s="87"/>
      <c r="D99" s="89"/>
      <c r="E99" s="42"/>
      <c r="F99" s="87"/>
      <c r="K99" s="5"/>
      <c r="L99" s="200"/>
      <c r="M99" s="42"/>
      <c r="N99" s="5"/>
      <c r="O99" s="200"/>
      <c r="S99" s="27"/>
      <c r="BK99" s="4"/>
    </row>
    <row r="100" spans="1:63" s="36" customFormat="1" ht="12.75">
      <c r="A100" s="87"/>
      <c r="B100" s="87"/>
      <c r="C100" s="42"/>
      <c r="D100" s="87"/>
      <c r="E100" s="42"/>
      <c r="F100" s="87"/>
      <c r="K100" s="5"/>
      <c r="L100" s="200"/>
      <c r="M100" s="42"/>
      <c r="N100" s="5"/>
      <c r="O100" s="200"/>
      <c r="S100" s="27"/>
      <c r="BK100" s="4"/>
    </row>
    <row r="101" spans="1:63" s="36" customFormat="1" ht="12.75">
      <c r="A101" s="87"/>
      <c r="B101" s="87"/>
      <c r="C101" s="42"/>
      <c r="D101" s="87"/>
      <c r="E101" s="42"/>
      <c r="F101" s="87"/>
      <c r="K101" s="5"/>
      <c r="L101" s="200"/>
      <c r="M101" s="42"/>
      <c r="N101" s="5"/>
      <c r="O101" s="200"/>
      <c r="S101" s="27"/>
      <c r="BK101" s="4"/>
    </row>
    <row r="102" spans="1:63" s="36" customFormat="1" ht="12.75">
      <c r="A102" s="87"/>
      <c r="B102" s="87"/>
      <c r="C102" s="42"/>
      <c r="D102" s="87"/>
      <c r="E102" s="42"/>
      <c r="F102" s="87"/>
      <c r="K102" s="5"/>
      <c r="L102" s="200"/>
      <c r="M102" s="42"/>
      <c r="N102" s="5"/>
      <c r="O102" s="200"/>
      <c r="S102" s="27"/>
      <c r="BK102" s="4"/>
    </row>
    <row r="103" spans="1:63" s="36" customFormat="1" ht="12.75">
      <c r="A103" s="43"/>
      <c r="B103" s="43"/>
      <c r="C103" s="42"/>
      <c r="D103" s="87"/>
      <c r="E103" s="42"/>
      <c r="F103" s="87"/>
      <c r="K103" s="90"/>
      <c r="L103" s="200"/>
      <c r="M103" s="42"/>
      <c r="N103" s="90"/>
      <c r="O103" s="158"/>
      <c r="S103" s="27"/>
      <c r="BK103" s="4"/>
    </row>
    <row r="104" spans="1:28" ht="12.75">
      <c r="A104" s="43"/>
      <c r="B104" s="43"/>
      <c r="C104" s="42"/>
      <c r="D104" s="87"/>
      <c r="E104" s="42"/>
      <c r="F104" s="87"/>
      <c r="G104" s="42"/>
      <c r="H104" s="42"/>
      <c r="I104" s="42"/>
      <c r="J104" s="42"/>
      <c r="K104" s="42"/>
      <c r="L104" s="87"/>
      <c r="M104" s="42"/>
      <c r="N104" s="87"/>
      <c r="O104" s="27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ht="12.75">
      <c r="A105" s="36"/>
      <c r="B105" s="36"/>
      <c r="C105" s="42"/>
      <c r="D105" s="87"/>
      <c r="E105" s="42"/>
      <c r="F105" s="36"/>
      <c r="G105" s="42"/>
      <c r="H105" s="42"/>
      <c r="I105" s="42"/>
      <c r="J105" s="42"/>
      <c r="K105" s="42"/>
      <c r="L105" s="36"/>
      <c r="M105" s="42"/>
      <c r="N105" s="87"/>
      <c r="O105" s="27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12.75">
      <c r="A106" s="36"/>
      <c r="B106" s="36"/>
      <c r="C106" s="42"/>
      <c r="D106" s="46"/>
      <c r="E106" s="42"/>
      <c r="F106" s="36"/>
      <c r="G106" s="42"/>
      <c r="H106" s="42"/>
      <c r="I106" s="42"/>
      <c r="J106" s="42"/>
      <c r="K106" s="42"/>
      <c r="L106" s="36"/>
      <c r="M106" s="42"/>
      <c r="N106" s="87"/>
      <c r="O106" s="42"/>
      <c r="P106" s="36"/>
      <c r="Q106" s="36"/>
      <c r="R106" s="36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12.75">
      <c r="A107" s="36"/>
      <c r="B107" s="36"/>
      <c r="C107" s="42"/>
      <c r="D107" s="36"/>
      <c r="E107" s="42"/>
      <c r="F107" s="36"/>
      <c r="G107" s="42"/>
      <c r="H107" s="42"/>
      <c r="I107" s="42"/>
      <c r="J107" s="42"/>
      <c r="K107" s="42"/>
      <c r="L107" s="36"/>
      <c r="M107" s="42"/>
      <c r="N107" s="87"/>
      <c r="O107" s="27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2.75" customHeight="1">
      <c r="A108" s="46"/>
      <c r="B108" s="46"/>
      <c r="C108" s="42"/>
      <c r="D108" s="36"/>
      <c r="E108" s="42"/>
      <c r="F108" s="36"/>
      <c r="G108" s="42"/>
      <c r="H108" s="42"/>
      <c r="I108" s="42"/>
      <c r="J108" s="42"/>
      <c r="K108" s="42"/>
      <c r="L108" s="36"/>
      <c r="M108" s="42"/>
      <c r="N108" s="87"/>
      <c r="O108" s="27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2.75">
      <c r="A109" s="46"/>
      <c r="B109" s="46"/>
      <c r="C109" s="42"/>
      <c r="D109" s="36"/>
      <c r="E109" s="42"/>
      <c r="F109" s="36"/>
      <c r="G109" s="42"/>
      <c r="H109" s="42"/>
      <c r="I109" s="42"/>
      <c r="J109" s="42"/>
      <c r="K109" s="42"/>
      <c r="L109" s="36"/>
      <c r="M109" s="42"/>
      <c r="N109" s="36"/>
      <c r="O109" s="27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2.75">
      <c r="A110" s="36"/>
      <c r="B110" s="36"/>
      <c r="C110" s="42"/>
      <c r="D110" s="36"/>
      <c r="E110" s="42"/>
      <c r="F110" s="36"/>
      <c r="G110" s="42"/>
      <c r="H110" s="42"/>
      <c r="I110" s="42"/>
      <c r="J110" s="42"/>
      <c r="K110" s="42"/>
      <c r="L110" s="36"/>
      <c r="M110" s="42"/>
      <c r="N110" s="36"/>
      <c r="O110" s="27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s="27" customFormat="1" ht="12.75">
      <c r="A111" s="87"/>
      <c r="B111" s="87"/>
      <c r="C111" s="42"/>
      <c r="D111" s="36"/>
      <c r="E111" s="42"/>
      <c r="F111" s="36"/>
      <c r="G111" s="42"/>
      <c r="H111" s="42"/>
      <c r="I111" s="42"/>
      <c r="J111" s="42"/>
      <c r="K111" s="42"/>
      <c r="L111" s="36"/>
      <c r="M111" s="42"/>
      <c r="N111" s="42"/>
      <c r="O111" s="3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12.75">
      <c r="A112" s="87"/>
      <c r="B112" s="87"/>
      <c r="C112" s="34"/>
      <c r="D112" s="36"/>
      <c r="E112" s="42"/>
      <c r="F112" s="42"/>
      <c r="G112" s="42"/>
      <c r="H112" s="42"/>
      <c r="I112" s="42"/>
      <c r="J112" s="42"/>
      <c r="K112" s="42"/>
      <c r="L112" s="42"/>
      <c r="M112" s="42"/>
      <c r="N112" s="35"/>
      <c r="O112" s="3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2.75" customHeight="1">
      <c r="A113" s="87"/>
      <c r="B113" s="87"/>
      <c r="C113" s="36"/>
      <c r="D113" s="87"/>
      <c r="E113" s="42"/>
      <c r="F113" s="87"/>
      <c r="G113" s="42"/>
      <c r="H113" s="42"/>
      <c r="I113" s="42"/>
      <c r="J113" s="42"/>
      <c r="K113" s="42"/>
      <c r="L113" s="87"/>
      <c r="M113" s="42"/>
      <c r="N113" s="87"/>
      <c r="O113" s="3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42.75" customHeight="1">
      <c r="A114" s="88"/>
      <c r="B114" s="88"/>
      <c r="C114" s="36"/>
      <c r="D114" s="87"/>
      <c r="E114" s="42"/>
      <c r="F114" s="87"/>
      <c r="G114" s="42"/>
      <c r="H114" s="42"/>
      <c r="I114" s="42"/>
      <c r="J114" s="42"/>
      <c r="K114" s="42"/>
      <c r="L114" s="87"/>
      <c r="M114" s="42"/>
      <c r="N114" s="87"/>
      <c r="O114" s="3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2.75">
      <c r="A115" s="88"/>
      <c r="B115" s="88"/>
      <c r="C115" s="42"/>
      <c r="D115" s="87"/>
      <c r="E115" s="42"/>
      <c r="F115" s="87"/>
      <c r="G115" s="42"/>
      <c r="H115" s="42"/>
      <c r="I115" s="42"/>
      <c r="J115" s="42"/>
      <c r="K115" s="42"/>
      <c r="L115" s="87"/>
      <c r="M115" s="42"/>
      <c r="N115" s="87"/>
      <c r="O115" s="3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2.75">
      <c r="A116" s="87"/>
      <c r="B116" s="87"/>
      <c r="C116" s="42"/>
      <c r="D116" s="88"/>
      <c r="E116" s="42"/>
      <c r="F116" s="88"/>
      <c r="G116" s="42"/>
      <c r="H116" s="42"/>
      <c r="I116" s="36"/>
      <c r="J116" s="36"/>
      <c r="K116" s="36"/>
      <c r="L116" s="88"/>
      <c r="M116" s="42"/>
      <c r="N116" s="88"/>
      <c r="O116" s="3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2.75">
      <c r="A117" s="89"/>
      <c r="B117" s="89"/>
      <c r="C117" s="42"/>
      <c r="D117" s="88"/>
      <c r="E117" s="42"/>
      <c r="F117" s="88"/>
      <c r="G117" s="42"/>
      <c r="H117" s="42"/>
      <c r="I117" s="36"/>
      <c r="J117" s="36"/>
      <c r="K117" s="36"/>
      <c r="L117" s="88"/>
      <c r="M117" s="42"/>
      <c r="N117" s="88"/>
      <c r="O117" s="3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12.75">
      <c r="A118" s="87"/>
      <c r="B118" s="87"/>
      <c r="C118" s="42"/>
      <c r="D118" s="87"/>
      <c r="E118" s="42"/>
      <c r="F118" s="87"/>
      <c r="G118" s="42"/>
      <c r="H118" s="42"/>
      <c r="I118" s="36"/>
      <c r="J118" s="36"/>
      <c r="K118" s="36"/>
      <c r="L118" s="87"/>
      <c r="M118" s="34"/>
      <c r="N118" s="87"/>
      <c r="O118" s="3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ht="12.75">
      <c r="A119" s="87"/>
      <c r="B119" s="87"/>
      <c r="C119" s="42"/>
      <c r="D119" s="89"/>
      <c r="E119" s="42"/>
      <c r="F119" s="89"/>
      <c r="G119" s="42"/>
      <c r="H119" s="42"/>
      <c r="I119" s="36"/>
      <c r="J119" s="36"/>
      <c r="K119" s="36"/>
      <c r="L119" s="89"/>
      <c r="M119" s="34"/>
      <c r="N119" s="89"/>
      <c r="O119" s="3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63" s="36" customFormat="1" ht="12.75">
      <c r="A120" s="87"/>
      <c r="B120" s="87"/>
      <c r="C120" s="42"/>
      <c r="D120" s="87"/>
      <c r="F120" s="89"/>
      <c r="G120" s="42"/>
      <c r="H120" s="42"/>
      <c r="L120" s="89"/>
      <c r="M120" s="34"/>
      <c r="N120" s="89"/>
      <c r="O120" s="34"/>
      <c r="BK120" s="4"/>
    </row>
    <row r="121" spans="1:63" s="36" customFormat="1" ht="12.75">
      <c r="A121" s="87"/>
      <c r="B121" s="87"/>
      <c r="C121" s="42"/>
      <c r="D121" s="87"/>
      <c r="F121" s="87"/>
      <c r="G121" s="42"/>
      <c r="H121" s="42"/>
      <c r="L121" s="87"/>
      <c r="M121" s="34"/>
      <c r="N121" s="87"/>
      <c r="O121" s="34"/>
      <c r="BK121" s="4"/>
    </row>
    <row r="122" spans="1:63" s="36" customFormat="1" ht="12.75">
      <c r="A122" s="87"/>
      <c r="B122" s="87"/>
      <c r="C122" s="42"/>
      <c r="D122" s="87"/>
      <c r="F122" s="87"/>
      <c r="G122" s="42"/>
      <c r="H122" s="42"/>
      <c r="L122" s="87"/>
      <c r="M122" s="34"/>
      <c r="N122" s="87"/>
      <c r="O122" s="27"/>
      <c r="BK122" s="4"/>
    </row>
    <row r="123" spans="1:63" s="36" customFormat="1" ht="12.75">
      <c r="A123" s="87"/>
      <c r="B123" s="87"/>
      <c r="C123" s="42"/>
      <c r="D123" s="87"/>
      <c r="F123" s="87"/>
      <c r="L123" s="87"/>
      <c r="M123" s="34"/>
      <c r="N123" s="87"/>
      <c r="O123" s="27"/>
      <c r="BK123" s="4"/>
    </row>
    <row r="124" spans="1:63" s="36" customFormat="1" ht="12.75">
      <c r="A124" s="43"/>
      <c r="B124" s="43"/>
      <c r="C124" s="42"/>
      <c r="D124" s="87"/>
      <c r="F124" s="87"/>
      <c r="L124" s="87"/>
      <c r="M124" s="34"/>
      <c r="N124" s="87"/>
      <c r="O124" s="34"/>
      <c r="BK124" s="4"/>
    </row>
    <row r="125" spans="1:63" s="36" customFormat="1" ht="12.75">
      <c r="A125" s="43"/>
      <c r="B125" s="43"/>
      <c r="C125" s="42"/>
      <c r="D125" s="87"/>
      <c r="F125" s="87"/>
      <c r="L125" s="87"/>
      <c r="M125" s="34"/>
      <c r="N125" s="87"/>
      <c r="O125" s="34"/>
      <c r="BK125" s="4"/>
    </row>
    <row r="126" spans="1:63" s="36" customFormat="1" ht="12.75">
      <c r="A126" s="88"/>
      <c r="B126" s="88"/>
      <c r="C126" s="42"/>
      <c r="D126" s="46"/>
      <c r="M126" s="34"/>
      <c r="O126" s="34"/>
      <c r="BK126" s="4"/>
    </row>
    <row r="127" spans="1:63" s="36" customFormat="1" ht="12.75">
      <c r="A127" s="88"/>
      <c r="B127" s="88"/>
      <c r="C127" s="42"/>
      <c r="D127" s="46"/>
      <c r="M127" s="34"/>
      <c r="O127" s="42"/>
      <c r="P127" s="27"/>
      <c r="Q127" s="27"/>
      <c r="R127" s="27"/>
      <c r="BK127" s="4"/>
    </row>
    <row r="128" spans="3:63" s="36" customFormat="1" ht="12.75">
      <c r="C128" s="42"/>
      <c r="D128" s="88"/>
      <c r="F128" s="27"/>
      <c r="G128" s="42"/>
      <c r="H128" s="42"/>
      <c r="I128" s="34"/>
      <c r="J128" s="34"/>
      <c r="K128" s="34"/>
      <c r="M128" s="34"/>
      <c r="O128" s="42"/>
      <c r="P128" s="27"/>
      <c r="Q128" s="27"/>
      <c r="R128" s="27"/>
      <c r="BK128" s="4"/>
    </row>
    <row r="129" spans="1:63" s="36" customFormat="1" ht="12.75">
      <c r="A129" s="46"/>
      <c r="B129" s="46"/>
      <c r="C129" s="42"/>
      <c r="D129" s="88"/>
      <c r="G129" s="42"/>
      <c r="H129" s="42"/>
      <c r="I129" s="34"/>
      <c r="J129" s="34"/>
      <c r="K129" s="34"/>
      <c r="L129" s="27"/>
      <c r="M129" s="34"/>
      <c r="O129" s="42"/>
      <c r="P129" s="27"/>
      <c r="Q129" s="27"/>
      <c r="R129" s="27"/>
      <c r="BK129" s="4"/>
    </row>
    <row r="130" spans="1:63" s="36" customFormat="1" ht="12.75">
      <c r="A130" s="46"/>
      <c r="B130" s="46"/>
      <c r="C130" s="42"/>
      <c r="F130" s="42"/>
      <c r="G130" s="42"/>
      <c r="H130" s="42"/>
      <c r="I130" s="34"/>
      <c r="J130" s="34"/>
      <c r="K130" s="34"/>
      <c r="M130" s="34"/>
      <c r="O130" s="42"/>
      <c r="P130" s="27"/>
      <c r="Q130" s="27"/>
      <c r="R130" s="27"/>
      <c r="BK130" s="4"/>
    </row>
    <row r="131" spans="3:63" s="36" customFormat="1" ht="12.75">
      <c r="C131" s="42"/>
      <c r="G131" s="42"/>
      <c r="H131" s="42"/>
      <c r="I131" s="34"/>
      <c r="J131" s="34"/>
      <c r="K131" s="34"/>
      <c r="L131" s="42"/>
      <c r="M131" s="34"/>
      <c r="O131" s="42"/>
      <c r="P131" s="27"/>
      <c r="Q131" s="27"/>
      <c r="R131" s="27"/>
      <c r="BK131" s="4"/>
    </row>
    <row r="132" spans="3:63" s="36" customFormat="1" ht="12.75">
      <c r="C132" s="42"/>
      <c r="G132" s="42"/>
      <c r="H132" s="42"/>
      <c r="I132" s="34"/>
      <c r="J132" s="34"/>
      <c r="K132" s="34"/>
      <c r="M132" s="34"/>
      <c r="N132" s="35"/>
      <c r="O132" s="42"/>
      <c r="P132" s="27"/>
      <c r="Q132" s="27"/>
      <c r="R132" s="27"/>
      <c r="BK132" s="4"/>
    </row>
    <row r="133" spans="3:63" s="36" customFormat="1" ht="12.75">
      <c r="C133" s="42"/>
      <c r="I133" s="34"/>
      <c r="J133" s="34"/>
      <c r="K133" s="34"/>
      <c r="M133" s="34"/>
      <c r="N133" s="27"/>
      <c r="O133" s="42"/>
      <c r="P133" s="27"/>
      <c r="Q133" s="27"/>
      <c r="R133" s="27"/>
      <c r="BK133" s="4"/>
    </row>
    <row r="134" spans="3:63" s="36" customFormat="1" ht="12.75">
      <c r="C134" s="42"/>
      <c r="I134" s="34"/>
      <c r="J134" s="34"/>
      <c r="K134" s="34"/>
      <c r="M134" s="34"/>
      <c r="N134" s="35"/>
      <c r="O134" s="42"/>
      <c r="P134" s="27"/>
      <c r="Q134" s="27"/>
      <c r="R134" s="27"/>
      <c r="BK134" s="4"/>
    </row>
    <row r="135" spans="3:63" s="36" customFormat="1" ht="12.75">
      <c r="C135" s="42"/>
      <c r="D135" s="27"/>
      <c r="I135" s="34"/>
      <c r="J135" s="34"/>
      <c r="K135" s="34"/>
      <c r="M135" s="34"/>
      <c r="N135" s="42"/>
      <c r="O135" s="42"/>
      <c r="P135" s="27"/>
      <c r="Q135" s="27"/>
      <c r="R135" s="27"/>
      <c r="BK135" s="4"/>
    </row>
    <row r="136" spans="1:28" ht="12.75">
      <c r="A136" s="36"/>
      <c r="B136" s="36"/>
      <c r="C136" s="42"/>
      <c r="D136" s="36"/>
      <c r="E136" s="36"/>
      <c r="F136" s="36"/>
      <c r="G136" s="36"/>
      <c r="H136" s="36"/>
      <c r="I136" s="34"/>
      <c r="J136" s="34"/>
      <c r="K136" s="34"/>
      <c r="L136" s="36"/>
      <c r="M136" s="34"/>
      <c r="N136" s="36"/>
      <c r="O136" s="42"/>
      <c r="P136" s="92"/>
      <c r="Q136" s="92"/>
      <c r="R136" s="92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12.75">
      <c r="A137" s="36"/>
      <c r="B137" s="36"/>
      <c r="C137" s="36"/>
      <c r="D137" s="42"/>
      <c r="E137" s="36"/>
      <c r="F137" s="36"/>
      <c r="G137" s="36"/>
      <c r="H137" s="36"/>
      <c r="I137" s="34"/>
      <c r="J137" s="34"/>
      <c r="K137" s="34"/>
      <c r="L137" s="36"/>
      <c r="M137" s="34"/>
      <c r="N137" s="36"/>
      <c r="O137" s="42"/>
      <c r="P137" s="27"/>
      <c r="Q137" s="27"/>
      <c r="R137" s="27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ht="12.75">
      <c r="A138" s="27"/>
      <c r="B138" s="27"/>
      <c r="C138" s="36"/>
      <c r="D138" s="44"/>
      <c r="E138" s="36"/>
      <c r="F138" s="36"/>
      <c r="G138" s="36"/>
      <c r="H138" s="36"/>
      <c r="I138" s="34"/>
      <c r="J138" s="34"/>
      <c r="K138" s="34"/>
      <c r="L138" s="36"/>
      <c r="M138" s="34"/>
      <c r="N138" s="36"/>
      <c r="O138" s="92"/>
      <c r="P138" s="27"/>
      <c r="Q138" s="27"/>
      <c r="R138" s="27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ht="12.75">
      <c r="A139" s="36"/>
      <c r="B139" s="36"/>
      <c r="C139" s="36"/>
      <c r="D139" s="45"/>
      <c r="E139" s="36"/>
      <c r="F139" s="36"/>
      <c r="G139" s="36"/>
      <c r="H139" s="36"/>
      <c r="I139" s="34"/>
      <c r="J139" s="34"/>
      <c r="K139" s="34"/>
      <c r="L139" s="36"/>
      <c r="M139" s="34"/>
      <c r="N139" s="36"/>
      <c r="O139" s="92"/>
      <c r="P139" s="27"/>
      <c r="Q139" s="27"/>
      <c r="R139" s="27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2.75">
      <c r="A140" s="42"/>
      <c r="B140" s="42"/>
      <c r="C140" s="36"/>
      <c r="D140" s="45"/>
      <c r="E140" s="36"/>
      <c r="F140" s="36"/>
      <c r="G140" s="36"/>
      <c r="H140" s="36"/>
      <c r="I140" s="34"/>
      <c r="J140" s="34"/>
      <c r="K140" s="34"/>
      <c r="L140" s="36"/>
      <c r="M140" s="34"/>
      <c r="N140" s="36"/>
      <c r="O140" s="92"/>
      <c r="P140" s="27"/>
      <c r="Q140" s="27"/>
      <c r="R140" s="27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2.75">
      <c r="A141" s="44"/>
      <c r="B141" s="44"/>
      <c r="C141" s="36"/>
      <c r="D141" s="45"/>
      <c r="E141" s="36"/>
      <c r="F141" s="36"/>
      <c r="G141" s="36"/>
      <c r="H141" s="36"/>
      <c r="I141" s="34"/>
      <c r="J141" s="34"/>
      <c r="K141" s="34"/>
      <c r="L141" s="36"/>
      <c r="M141" s="34"/>
      <c r="N141" s="36"/>
      <c r="O141" s="92"/>
      <c r="P141" s="27"/>
      <c r="Q141" s="27"/>
      <c r="R141" s="27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2.75">
      <c r="A142" s="45"/>
      <c r="B142" s="45"/>
      <c r="C142" s="36"/>
      <c r="D142" s="43"/>
      <c r="E142" s="36"/>
      <c r="F142" s="36"/>
      <c r="G142" s="36"/>
      <c r="H142" s="36"/>
      <c r="I142" s="34"/>
      <c r="J142" s="34"/>
      <c r="K142" s="34"/>
      <c r="L142" s="36"/>
      <c r="M142" s="34"/>
      <c r="N142" s="35"/>
      <c r="O142" s="92"/>
      <c r="P142" s="27"/>
      <c r="Q142" s="27"/>
      <c r="R142" s="27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2.75">
      <c r="A143" s="45"/>
      <c r="B143" s="45"/>
      <c r="C143" s="36"/>
      <c r="D143" s="43"/>
      <c r="E143" s="36"/>
      <c r="F143" s="36"/>
      <c r="G143" s="36"/>
      <c r="H143" s="36"/>
      <c r="I143" s="34"/>
      <c r="J143" s="34"/>
      <c r="K143" s="34"/>
      <c r="L143" s="36"/>
      <c r="M143" s="34"/>
      <c r="N143" s="35"/>
      <c r="O143" s="92"/>
      <c r="P143" s="43"/>
      <c r="Q143" s="27"/>
      <c r="R143" s="27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2.75">
      <c r="A144" s="45"/>
      <c r="B144" s="45"/>
      <c r="C144" s="36"/>
      <c r="D144" s="43"/>
      <c r="E144" s="36"/>
      <c r="F144" s="36"/>
      <c r="G144" s="36"/>
      <c r="H144" s="36"/>
      <c r="I144" s="34"/>
      <c r="J144" s="34"/>
      <c r="K144" s="34"/>
      <c r="L144" s="36"/>
      <c r="M144" s="34"/>
      <c r="N144" s="35"/>
      <c r="O144" s="92"/>
      <c r="P144" s="43"/>
      <c r="Q144" s="27"/>
      <c r="R144" s="27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2.75">
      <c r="A145" s="43"/>
      <c r="B145" s="43"/>
      <c r="C145" s="36"/>
      <c r="D145" s="43"/>
      <c r="E145" s="36"/>
      <c r="F145" s="36"/>
      <c r="G145" s="36"/>
      <c r="H145" s="36"/>
      <c r="I145" s="34"/>
      <c r="J145" s="34"/>
      <c r="K145" s="34"/>
      <c r="L145" s="36"/>
      <c r="M145" s="34"/>
      <c r="N145" s="35"/>
      <c r="O145" s="42"/>
      <c r="P145" s="46"/>
      <c r="Q145" s="27"/>
      <c r="R145" s="27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2.75">
      <c r="A146" s="43"/>
      <c r="B146" s="43"/>
      <c r="C146" s="36"/>
      <c r="D146" s="43"/>
      <c r="E146" s="36"/>
      <c r="F146" s="36"/>
      <c r="G146" s="36"/>
      <c r="H146" s="36"/>
      <c r="I146" s="34"/>
      <c r="J146" s="34"/>
      <c r="K146" s="34"/>
      <c r="L146" s="36"/>
      <c r="M146" s="34"/>
      <c r="N146" s="35"/>
      <c r="O146" s="42"/>
      <c r="P146" s="46"/>
      <c r="Q146" s="27"/>
      <c r="R146" s="27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2.75">
      <c r="A147" s="43"/>
      <c r="B147" s="43"/>
      <c r="C147" s="36"/>
      <c r="D147" s="43"/>
      <c r="E147" s="36"/>
      <c r="F147" s="36"/>
      <c r="G147" s="36"/>
      <c r="H147" s="36"/>
      <c r="I147" s="34"/>
      <c r="J147" s="34"/>
      <c r="K147" s="34"/>
      <c r="L147" s="36"/>
      <c r="M147" s="34"/>
      <c r="N147" s="35"/>
      <c r="O147" s="42"/>
      <c r="P147" s="43"/>
      <c r="Q147" s="27"/>
      <c r="R147" s="27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2.75">
      <c r="A148" s="43"/>
      <c r="B148" s="43"/>
      <c r="C148" s="36"/>
      <c r="D148" s="36"/>
      <c r="E148" s="36"/>
      <c r="F148" s="36"/>
      <c r="G148" s="36"/>
      <c r="H148" s="36"/>
      <c r="I148" s="34"/>
      <c r="J148" s="34"/>
      <c r="K148" s="34"/>
      <c r="L148" s="36"/>
      <c r="M148" s="34"/>
      <c r="N148" s="35"/>
      <c r="O148" s="90"/>
      <c r="P148" s="43"/>
      <c r="Q148" s="27"/>
      <c r="R148" s="27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2.75">
      <c r="A149" s="43"/>
      <c r="B149" s="43"/>
      <c r="C149" s="36"/>
      <c r="D149" s="36"/>
      <c r="E149" s="36"/>
      <c r="F149" s="36"/>
      <c r="G149" s="36"/>
      <c r="H149" s="36"/>
      <c r="I149" s="34"/>
      <c r="J149" s="34"/>
      <c r="K149" s="34"/>
      <c r="L149" s="36"/>
      <c r="M149" s="34"/>
      <c r="N149" s="35"/>
      <c r="O149" s="34"/>
      <c r="P149" s="43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ht="12.75">
      <c r="A150" s="43"/>
      <c r="B150" s="43"/>
      <c r="C150" s="36"/>
      <c r="D150" s="36"/>
      <c r="E150" s="36"/>
      <c r="F150" s="36"/>
      <c r="G150" s="36"/>
      <c r="H150" s="36"/>
      <c r="I150" s="34"/>
      <c r="J150" s="34"/>
      <c r="K150" s="34"/>
      <c r="L150" s="36"/>
      <c r="M150" s="34"/>
      <c r="N150" s="35"/>
      <c r="O150" s="3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2.75">
      <c r="A151" s="36"/>
      <c r="B151" s="36"/>
      <c r="C151" s="36"/>
      <c r="D151" s="46"/>
      <c r="E151" s="36"/>
      <c r="F151" s="36"/>
      <c r="G151" s="36"/>
      <c r="H151" s="36"/>
      <c r="I151" s="34"/>
      <c r="J151" s="34"/>
      <c r="K151" s="34"/>
      <c r="L151" s="36"/>
      <c r="M151" s="34"/>
      <c r="N151" s="35"/>
      <c r="O151" s="34"/>
      <c r="P151" s="36"/>
      <c r="Q151" s="36"/>
      <c r="R151" s="36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</row>
    <row r="152" spans="1:28" ht="12.75">
      <c r="A152" s="36"/>
      <c r="B152" s="36"/>
      <c r="C152" s="36"/>
      <c r="D152" s="46"/>
      <c r="E152" s="36"/>
      <c r="F152" s="36"/>
      <c r="G152" s="36"/>
      <c r="H152" s="36"/>
      <c r="I152" s="34"/>
      <c r="J152" s="34"/>
      <c r="K152" s="34"/>
      <c r="L152" s="36"/>
      <c r="M152" s="34"/>
      <c r="N152" s="35"/>
      <c r="O152" s="3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2.75">
      <c r="A153" s="36"/>
      <c r="B153" s="36"/>
      <c r="C153" s="36"/>
      <c r="D153" s="36"/>
      <c r="E153" s="36"/>
      <c r="F153" s="36"/>
      <c r="G153" s="36"/>
      <c r="H153" s="36"/>
      <c r="I153" s="34"/>
      <c r="J153" s="34"/>
      <c r="K153" s="34"/>
      <c r="L153" s="36"/>
      <c r="M153" s="34"/>
      <c r="N153" s="35"/>
      <c r="O153" s="3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ht="12.75">
      <c r="A154" s="46"/>
      <c r="B154" s="46"/>
      <c r="C154" s="36"/>
      <c r="D154" s="36"/>
      <c r="E154" s="36"/>
      <c r="F154" s="36"/>
      <c r="G154" s="36"/>
      <c r="H154" s="36"/>
      <c r="I154" s="34"/>
      <c r="J154" s="34"/>
      <c r="K154" s="34"/>
      <c r="L154" s="36"/>
      <c r="M154" s="34"/>
      <c r="N154" s="35"/>
      <c r="O154" s="3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2.75">
      <c r="A155" s="46"/>
      <c r="B155" s="46"/>
      <c r="C155" s="36"/>
      <c r="D155" s="36"/>
      <c r="E155" s="36"/>
      <c r="F155" s="36"/>
      <c r="G155" s="36"/>
      <c r="H155" s="36"/>
      <c r="I155" s="34"/>
      <c r="J155" s="34"/>
      <c r="K155" s="34"/>
      <c r="L155" s="36"/>
      <c r="M155" s="34"/>
      <c r="N155" s="35"/>
      <c r="O155" s="3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s="42" customFormat="1" ht="12.75">
      <c r="A156" s="36"/>
      <c r="B156" s="36"/>
      <c r="C156" s="36"/>
      <c r="D156" s="36"/>
      <c r="E156" s="36"/>
      <c r="F156" s="36"/>
      <c r="G156" s="36"/>
      <c r="H156" s="36"/>
      <c r="I156" s="34"/>
      <c r="J156" s="34"/>
      <c r="K156" s="34"/>
      <c r="L156" s="36"/>
      <c r="M156" s="34"/>
      <c r="N156" s="34"/>
      <c r="O156" s="3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:28" ht="12.75">
      <c r="A157" s="36"/>
      <c r="B157" s="36"/>
      <c r="C157" s="36"/>
      <c r="D157" s="36"/>
      <c r="E157" s="36"/>
      <c r="F157" s="36"/>
      <c r="G157" s="36"/>
      <c r="H157" s="36"/>
      <c r="I157" s="34"/>
      <c r="J157" s="34"/>
      <c r="K157" s="34"/>
      <c r="L157" s="36"/>
      <c r="M157" s="34"/>
      <c r="N157" s="34"/>
      <c r="O157" s="34"/>
      <c r="P157" s="42"/>
      <c r="Q157" s="42"/>
      <c r="R157" s="42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:28" ht="12.75">
      <c r="A158" s="36"/>
      <c r="B158" s="36"/>
      <c r="C158" s="36"/>
      <c r="D158" s="36"/>
      <c r="E158" s="36"/>
      <c r="F158" s="36"/>
      <c r="G158" s="36"/>
      <c r="H158" s="36"/>
      <c r="I158" s="34"/>
      <c r="J158" s="34"/>
      <c r="K158" s="34"/>
      <c r="L158" s="36"/>
      <c r="M158" s="34"/>
      <c r="N158" s="34"/>
      <c r="O158" s="34"/>
      <c r="P158" s="42"/>
      <c r="Q158" s="42"/>
      <c r="R158" s="42"/>
      <c r="S158" s="27"/>
      <c r="T158" s="43"/>
      <c r="U158" s="36"/>
      <c r="V158" s="36"/>
      <c r="W158" s="36"/>
      <c r="X158" s="36"/>
      <c r="Y158" s="36"/>
      <c r="Z158" s="36"/>
      <c r="AA158" s="36"/>
      <c r="AB158" s="36"/>
    </row>
    <row r="159" spans="1:28" ht="12.75">
      <c r="A159" s="36"/>
      <c r="B159" s="36"/>
      <c r="C159" s="36"/>
      <c r="D159" s="36"/>
      <c r="E159" s="36"/>
      <c r="F159" s="36"/>
      <c r="G159" s="36"/>
      <c r="H159" s="36"/>
      <c r="I159" s="34"/>
      <c r="J159" s="34"/>
      <c r="K159" s="34"/>
      <c r="L159" s="36"/>
      <c r="M159" s="33"/>
      <c r="N159" s="34"/>
      <c r="O159" s="27"/>
      <c r="P159" s="42"/>
      <c r="Q159" s="42"/>
      <c r="R159" s="42"/>
      <c r="S159" s="27"/>
      <c r="T159" s="46"/>
      <c r="U159" s="36"/>
      <c r="V159" s="36"/>
      <c r="W159" s="36"/>
      <c r="X159" s="36"/>
      <c r="Y159" s="36"/>
      <c r="Z159" s="36"/>
      <c r="AA159" s="36"/>
      <c r="AB159" s="36"/>
    </row>
    <row r="160" spans="1:28" ht="12.75">
      <c r="A160" s="36"/>
      <c r="B160" s="36"/>
      <c r="C160" s="36"/>
      <c r="D160" s="36"/>
      <c r="E160" s="36"/>
      <c r="F160" s="36"/>
      <c r="G160" s="36"/>
      <c r="H160" s="36"/>
      <c r="I160" s="34"/>
      <c r="J160" s="34"/>
      <c r="K160" s="34"/>
      <c r="L160" s="36"/>
      <c r="M160" s="33"/>
      <c r="N160" s="34"/>
      <c r="O160" s="27"/>
      <c r="P160" s="42"/>
      <c r="Q160" s="42"/>
      <c r="R160" s="42"/>
      <c r="S160" s="27"/>
      <c r="T160" s="46"/>
      <c r="U160" s="36"/>
      <c r="V160" s="36"/>
      <c r="W160" s="36"/>
      <c r="X160" s="36"/>
      <c r="Y160" s="36"/>
      <c r="Z160" s="36"/>
      <c r="AA160" s="36"/>
      <c r="AB160" s="36"/>
    </row>
    <row r="161" spans="1:28" ht="12.75">
      <c r="A161" s="36"/>
      <c r="B161" s="36"/>
      <c r="C161" s="36"/>
      <c r="D161" s="36"/>
      <c r="E161" s="36"/>
      <c r="F161" s="36"/>
      <c r="G161" s="36"/>
      <c r="H161" s="36"/>
      <c r="I161" s="34"/>
      <c r="J161" s="34"/>
      <c r="K161" s="34"/>
      <c r="L161" s="36"/>
      <c r="M161" s="33"/>
      <c r="N161" s="34"/>
      <c r="O161" s="27"/>
      <c r="P161" s="42"/>
      <c r="Q161" s="42"/>
      <c r="R161" s="42"/>
      <c r="S161" s="27"/>
      <c r="T161" s="43"/>
      <c r="U161" s="36"/>
      <c r="V161" s="36"/>
      <c r="W161" s="36"/>
      <c r="X161" s="36"/>
      <c r="Y161" s="36"/>
      <c r="Z161" s="36"/>
      <c r="AA161" s="36"/>
      <c r="AB161" s="36"/>
    </row>
    <row r="162" spans="1:28" ht="12.75">
      <c r="A162" s="36"/>
      <c r="B162" s="36"/>
      <c r="C162" s="36"/>
      <c r="D162" s="36"/>
      <c r="E162" s="36"/>
      <c r="F162" s="36"/>
      <c r="G162" s="36"/>
      <c r="H162" s="36"/>
      <c r="I162" s="34"/>
      <c r="J162" s="34"/>
      <c r="K162" s="34"/>
      <c r="L162" s="36"/>
      <c r="M162" s="33"/>
      <c r="N162" s="34"/>
      <c r="O162" s="27"/>
      <c r="P162" s="42"/>
      <c r="Q162" s="42"/>
      <c r="R162" s="42"/>
      <c r="S162" s="27"/>
      <c r="T162" s="43"/>
      <c r="U162" s="36"/>
      <c r="V162" s="36"/>
      <c r="W162" s="36"/>
      <c r="X162" s="36"/>
      <c r="Y162" s="36"/>
      <c r="Z162" s="36"/>
      <c r="AA162" s="36"/>
      <c r="AB162" s="36"/>
    </row>
    <row r="163" spans="1:28" ht="12.75">
      <c r="A163" s="36"/>
      <c r="B163" s="36"/>
      <c r="C163" s="36"/>
      <c r="D163" s="36"/>
      <c r="E163" s="36"/>
      <c r="F163" s="36"/>
      <c r="G163" s="36"/>
      <c r="H163" s="36"/>
      <c r="I163" s="34"/>
      <c r="J163" s="34"/>
      <c r="K163" s="34"/>
      <c r="L163" s="36"/>
      <c r="M163" s="33"/>
      <c r="N163" s="34"/>
      <c r="O163" s="27"/>
      <c r="P163" s="42"/>
      <c r="Q163" s="42"/>
      <c r="R163" s="42"/>
      <c r="S163" s="27"/>
      <c r="T163" s="43"/>
      <c r="U163" s="36"/>
      <c r="V163" s="36"/>
      <c r="W163" s="36"/>
      <c r="X163" s="36"/>
      <c r="Y163" s="36"/>
      <c r="Z163" s="36"/>
      <c r="AA163" s="36"/>
      <c r="AB163" s="36"/>
    </row>
    <row r="164" spans="1:28" ht="12.75">
      <c r="A164" s="36"/>
      <c r="B164" s="36"/>
      <c r="C164" s="36"/>
      <c r="D164" s="36"/>
      <c r="E164" s="36"/>
      <c r="F164" s="36"/>
      <c r="G164" s="36"/>
      <c r="H164" s="36"/>
      <c r="I164" s="34"/>
      <c r="J164" s="34"/>
      <c r="K164" s="34"/>
      <c r="L164" s="36"/>
      <c r="M164" s="33"/>
      <c r="N164" s="34"/>
      <c r="O164" s="27"/>
      <c r="P164" s="42"/>
      <c r="Q164" s="42"/>
      <c r="R164" s="42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ht="12.75">
      <c r="A165" s="36"/>
      <c r="B165" s="36"/>
      <c r="C165" s="36"/>
      <c r="D165" s="36"/>
      <c r="E165" s="36"/>
      <c r="F165" s="36"/>
      <c r="G165" s="36"/>
      <c r="H165" s="36"/>
      <c r="I165" s="34"/>
      <c r="J165" s="34"/>
      <c r="K165" s="34"/>
      <c r="L165" s="36"/>
      <c r="M165" s="33"/>
      <c r="N165" s="34"/>
      <c r="O165" s="27"/>
      <c r="P165" s="42"/>
      <c r="Q165" s="42"/>
      <c r="R165" s="42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ht="12.75">
      <c r="A166" s="36"/>
      <c r="B166" s="36"/>
      <c r="C166" s="36"/>
      <c r="D166" s="36"/>
      <c r="E166" s="36"/>
      <c r="F166" s="36"/>
      <c r="G166" s="36"/>
      <c r="H166" s="36"/>
      <c r="I166" s="34"/>
      <c r="J166" s="34"/>
      <c r="K166" s="34"/>
      <c r="L166" s="36"/>
      <c r="M166" s="33"/>
      <c r="N166" s="34"/>
      <c r="O166" s="27"/>
      <c r="P166" s="42"/>
      <c r="Q166" s="42"/>
      <c r="R166" s="42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ht="12.75">
      <c r="A167" s="36"/>
      <c r="B167" s="36"/>
      <c r="C167" s="36"/>
      <c r="D167" s="36"/>
      <c r="E167" s="36"/>
      <c r="F167" s="36"/>
      <c r="G167" s="36"/>
      <c r="H167" s="36"/>
      <c r="I167" s="34"/>
      <c r="J167" s="34"/>
      <c r="K167" s="34"/>
      <c r="L167" s="36"/>
      <c r="M167" s="33"/>
      <c r="N167" s="34"/>
      <c r="O167" s="27"/>
      <c r="P167" s="42"/>
      <c r="Q167" s="42"/>
      <c r="R167" s="42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2.75">
      <c r="A168" s="36"/>
      <c r="B168" s="36"/>
      <c r="C168" s="36"/>
      <c r="D168" s="36"/>
      <c r="E168" s="36"/>
      <c r="F168" s="36"/>
      <c r="G168" s="36"/>
      <c r="H168" s="36"/>
      <c r="I168" s="34"/>
      <c r="J168" s="34"/>
      <c r="K168" s="34"/>
      <c r="L168" s="36"/>
      <c r="M168" s="33"/>
      <c r="N168" s="34"/>
      <c r="O168" s="27"/>
      <c r="P168" s="42"/>
      <c r="Q168" s="42"/>
      <c r="R168" s="42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2.75">
      <c r="A169" s="36"/>
      <c r="B169" s="36"/>
      <c r="C169" s="36"/>
      <c r="D169" s="36"/>
      <c r="E169" s="36"/>
      <c r="F169" s="36"/>
      <c r="G169" s="36"/>
      <c r="H169" s="36"/>
      <c r="I169" s="34"/>
      <c r="J169" s="34"/>
      <c r="K169" s="34"/>
      <c r="L169" s="36"/>
      <c r="M169" s="33"/>
      <c r="N169" s="34"/>
      <c r="O169" s="27"/>
      <c r="P169" s="42"/>
      <c r="Q169" s="42"/>
      <c r="R169" s="42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2.75">
      <c r="A170" s="36"/>
      <c r="B170" s="36"/>
      <c r="C170" s="36"/>
      <c r="D170" s="36"/>
      <c r="E170" s="36"/>
      <c r="F170" s="36"/>
      <c r="G170" s="36"/>
      <c r="H170" s="36"/>
      <c r="I170" s="34"/>
      <c r="J170" s="34"/>
      <c r="K170" s="34"/>
      <c r="L170" s="36"/>
      <c r="M170" s="33"/>
      <c r="N170" s="34"/>
      <c r="O170" s="27"/>
      <c r="P170" s="42"/>
      <c r="Q170" s="42"/>
      <c r="R170" s="42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:28" ht="12.75">
      <c r="A171" s="36"/>
      <c r="B171" s="36"/>
      <c r="C171" s="36"/>
      <c r="D171" s="36"/>
      <c r="E171" s="36"/>
      <c r="F171" s="36"/>
      <c r="G171" s="36"/>
      <c r="H171" s="36"/>
      <c r="I171" s="34"/>
      <c r="J171" s="34"/>
      <c r="K171" s="34"/>
      <c r="L171" s="36"/>
      <c r="M171" s="33"/>
      <c r="N171" s="34"/>
      <c r="O171" s="27"/>
      <c r="P171" s="42"/>
      <c r="Q171" s="42"/>
      <c r="R171" s="42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:28" ht="12.75">
      <c r="A172" s="36"/>
      <c r="B172" s="36"/>
      <c r="C172" s="36"/>
      <c r="D172" s="36"/>
      <c r="E172" s="36"/>
      <c r="F172" s="36"/>
      <c r="G172" s="36"/>
      <c r="H172" s="36"/>
      <c r="I172" s="34"/>
      <c r="J172" s="34"/>
      <c r="K172" s="34"/>
      <c r="L172" s="36"/>
      <c r="M172" s="33"/>
      <c r="N172" s="34"/>
      <c r="O172" s="27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</row>
    <row r="173" spans="1:28" ht="12.75">
      <c r="A173" s="36"/>
      <c r="B173" s="36"/>
      <c r="C173" s="36"/>
      <c r="D173" s="36"/>
      <c r="E173" s="36"/>
      <c r="F173" s="36"/>
      <c r="G173" s="36"/>
      <c r="H173" s="36"/>
      <c r="I173" s="34"/>
      <c r="J173" s="34"/>
      <c r="K173" s="34"/>
      <c r="L173" s="36"/>
      <c r="M173" s="33"/>
      <c r="N173" s="34"/>
      <c r="O173" s="27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</row>
    <row r="174" spans="1:28" ht="12.75">
      <c r="A174" s="36"/>
      <c r="B174" s="36"/>
      <c r="C174" s="36"/>
      <c r="D174" s="36"/>
      <c r="E174" s="36"/>
      <c r="F174" s="36"/>
      <c r="G174" s="36"/>
      <c r="H174" s="36"/>
      <c r="I174" s="34"/>
      <c r="J174" s="34"/>
      <c r="K174" s="34"/>
      <c r="L174" s="36"/>
      <c r="M174" s="33"/>
      <c r="N174" s="34"/>
      <c r="O174" s="27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</row>
    <row r="175" spans="1:28" ht="12.75">
      <c r="A175" s="36"/>
      <c r="B175" s="36"/>
      <c r="C175" s="36"/>
      <c r="D175" s="36"/>
      <c r="E175" s="36"/>
      <c r="G175" s="36"/>
      <c r="H175" s="36"/>
      <c r="I175" s="34"/>
      <c r="J175" s="34"/>
      <c r="K175" s="34"/>
      <c r="L175" s="36"/>
      <c r="M175" s="33"/>
      <c r="N175" s="34"/>
      <c r="O175" s="27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</row>
    <row r="176" spans="1:28" ht="12.75">
      <c r="A176" s="36"/>
      <c r="B176" s="36"/>
      <c r="C176" s="36"/>
      <c r="D176" s="36"/>
      <c r="E176" s="36"/>
      <c r="G176" s="36"/>
      <c r="H176" s="36"/>
      <c r="I176" s="34"/>
      <c r="J176" s="34"/>
      <c r="K176" s="34"/>
      <c r="L176" s="36"/>
      <c r="M176" s="33"/>
      <c r="N176" s="34"/>
      <c r="O176" s="27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</row>
    <row r="177" spans="1:15" s="42" customFormat="1" ht="12.75">
      <c r="A177" s="36"/>
      <c r="B177" s="36"/>
      <c r="C177" s="36"/>
      <c r="D177" s="36"/>
      <c r="E177" s="36"/>
      <c r="F177" s="4"/>
      <c r="G177" s="36"/>
      <c r="H177" s="36"/>
      <c r="I177" s="34"/>
      <c r="J177" s="34"/>
      <c r="K177" s="34"/>
      <c r="L177" s="36"/>
      <c r="M177" s="33"/>
      <c r="N177" s="34"/>
      <c r="O177" s="27"/>
    </row>
    <row r="178" spans="1:15" s="42" customFormat="1" ht="12.75">
      <c r="A178" s="36"/>
      <c r="B178" s="36"/>
      <c r="C178" s="36"/>
      <c r="D178" s="36"/>
      <c r="E178" s="36"/>
      <c r="F178" s="4"/>
      <c r="G178" s="36"/>
      <c r="H178" s="36"/>
      <c r="I178" s="34"/>
      <c r="J178" s="34"/>
      <c r="K178" s="34"/>
      <c r="L178" s="36"/>
      <c r="M178" s="33"/>
      <c r="N178" s="34"/>
      <c r="O178" s="27"/>
    </row>
    <row r="179" spans="1:18" s="42" customFormat="1" ht="12.75">
      <c r="A179" s="36"/>
      <c r="B179" s="36"/>
      <c r="C179" s="36"/>
      <c r="D179" s="36"/>
      <c r="E179" s="36"/>
      <c r="F179" s="4"/>
      <c r="G179" s="36"/>
      <c r="H179" s="36"/>
      <c r="I179" s="34"/>
      <c r="J179" s="34"/>
      <c r="K179" s="34"/>
      <c r="L179" s="4"/>
      <c r="M179" s="33"/>
      <c r="N179" s="34"/>
      <c r="O179" s="27"/>
      <c r="P179" s="90"/>
      <c r="Q179" s="90"/>
      <c r="R179" s="90"/>
    </row>
    <row r="180" spans="1:18" s="42" customFormat="1" ht="12.75">
      <c r="A180" s="36"/>
      <c r="B180" s="36"/>
      <c r="C180" s="36"/>
      <c r="D180" s="4"/>
      <c r="E180" s="36"/>
      <c r="F180" s="4"/>
      <c r="G180" s="36"/>
      <c r="H180" s="36"/>
      <c r="I180" s="34"/>
      <c r="J180" s="34"/>
      <c r="K180" s="34"/>
      <c r="L180" s="4"/>
      <c r="M180" s="33"/>
      <c r="N180" s="34"/>
      <c r="O180" s="27"/>
      <c r="P180" s="34"/>
      <c r="Q180" s="34"/>
      <c r="R180" s="34"/>
    </row>
    <row r="181" spans="1:18" s="42" customFormat="1" ht="12.75">
      <c r="A181" s="36"/>
      <c r="B181" s="36"/>
      <c r="C181" s="36"/>
      <c r="D181" s="4"/>
      <c r="E181" s="36"/>
      <c r="F181" s="4"/>
      <c r="G181" s="36"/>
      <c r="H181" s="36"/>
      <c r="I181" s="34"/>
      <c r="J181" s="34"/>
      <c r="K181" s="34"/>
      <c r="L181" s="4"/>
      <c r="M181" s="33"/>
      <c r="N181" s="34"/>
      <c r="O181" s="27"/>
      <c r="P181" s="34"/>
      <c r="Q181" s="34"/>
      <c r="R181" s="34"/>
    </row>
    <row r="182" spans="1:18" s="42" customFormat="1" ht="12.75">
      <c r="A182" s="4"/>
      <c r="B182" s="4"/>
      <c r="C182" s="36"/>
      <c r="D182" s="4"/>
      <c r="E182" s="36"/>
      <c r="F182" s="4"/>
      <c r="G182" s="36"/>
      <c r="H182" s="36"/>
      <c r="I182" s="34"/>
      <c r="J182" s="34"/>
      <c r="K182" s="34"/>
      <c r="L182" s="4"/>
      <c r="M182" s="33"/>
      <c r="N182" s="34"/>
      <c r="O182" s="27"/>
      <c r="P182" s="34"/>
      <c r="Q182" s="34"/>
      <c r="R182" s="34"/>
    </row>
    <row r="183" spans="1:18" s="42" customFormat="1" ht="12.75">
      <c r="A183" s="4"/>
      <c r="B183" s="4"/>
      <c r="C183" s="36"/>
      <c r="D183" s="4"/>
      <c r="E183" s="36"/>
      <c r="F183" s="4"/>
      <c r="G183" s="36"/>
      <c r="H183" s="36"/>
      <c r="I183" s="34"/>
      <c r="J183" s="34"/>
      <c r="K183" s="34"/>
      <c r="L183" s="4"/>
      <c r="M183" s="33"/>
      <c r="N183" s="5"/>
      <c r="O183" s="27"/>
      <c r="P183" s="34"/>
      <c r="Q183" s="34"/>
      <c r="R183" s="34"/>
    </row>
    <row r="184" spans="1:18" s="42" customFormat="1" ht="12.75">
      <c r="A184" s="4"/>
      <c r="B184" s="4"/>
      <c r="C184" s="36"/>
      <c r="D184" s="4"/>
      <c r="E184" s="36"/>
      <c r="F184" s="4"/>
      <c r="G184" s="36"/>
      <c r="H184" s="36"/>
      <c r="I184" s="34"/>
      <c r="J184" s="34"/>
      <c r="K184" s="34"/>
      <c r="L184" s="4"/>
      <c r="M184" s="33"/>
      <c r="N184" s="5"/>
      <c r="O184" s="27"/>
      <c r="P184" s="34"/>
      <c r="Q184" s="34"/>
      <c r="R184" s="34"/>
    </row>
    <row r="185" spans="1:18" s="42" customFormat="1" ht="12.75">
      <c r="A185" s="4"/>
      <c r="B185" s="4"/>
      <c r="C185" s="36"/>
      <c r="D185" s="4"/>
      <c r="E185" s="36"/>
      <c r="F185" s="4"/>
      <c r="G185" s="36"/>
      <c r="H185" s="36"/>
      <c r="I185" s="34"/>
      <c r="J185" s="34"/>
      <c r="K185" s="34"/>
      <c r="L185" s="4"/>
      <c r="M185" s="65"/>
      <c r="N185" s="5"/>
      <c r="O185" s="27"/>
      <c r="P185" s="34"/>
      <c r="Q185" s="34"/>
      <c r="R185" s="34"/>
    </row>
    <row r="186" spans="1:18" s="42" customFormat="1" ht="12.75">
      <c r="A186" s="4"/>
      <c r="B186" s="4"/>
      <c r="C186" s="36"/>
      <c r="D186" s="4"/>
      <c r="E186" s="36"/>
      <c r="F186" s="4"/>
      <c r="G186" s="36"/>
      <c r="H186" s="36"/>
      <c r="I186" s="34"/>
      <c r="J186" s="34"/>
      <c r="K186" s="34"/>
      <c r="L186" s="4"/>
      <c r="M186" s="65"/>
      <c r="N186" s="5"/>
      <c r="O186" s="27"/>
      <c r="P186" s="34"/>
      <c r="Q186" s="34"/>
      <c r="R186" s="34"/>
    </row>
    <row r="187" spans="1:18" s="42" customFormat="1" ht="12.75">
      <c r="A187" s="4"/>
      <c r="B187" s="4"/>
      <c r="C187" s="36"/>
      <c r="D187" s="4"/>
      <c r="E187" s="36"/>
      <c r="F187" s="4"/>
      <c r="G187" s="36"/>
      <c r="H187" s="36"/>
      <c r="I187" s="34"/>
      <c r="J187" s="34"/>
      <c r="K187" s="34"/>
      <c r="L187" s="4"/>
      <c r="M187" s="65"/>
      <c r="N187" s="5"/>
      <c r="O187" s="27"/>
      <c r="P187" s="34"/>
      <c r="Q187" s="34"/>
      <c r="R187" s="34"/>
    </row>
    <row r="188" spans="1:18" s="42" customFormat="1" ht="12.75">
      <c r="A188" s="4"/>
      <c r="B188" s="4"/>
      <c r="C188" s="36"/>
      <c r="D188" s="4"/>
      <c r="E188" s="36"/>
      <c r="F188" s="4"/>
      <c r="G188" s="36"/>
      <c r="H188" s="36"/>
      <c r="I188" s="34"/>
      <c r="J188" s="34"/>
      <c r="K188" s="34"/>
      <c r="L188" s="4"/>
      <c r="M188" s="65"/>
      <c r="N188" s="5"/>
      <c r="O188" s="27"/>
      <c r="P188" s="34"/>
      <c r="Q188" s="34"/>
      <c r="R188" s="34"/>
    </row>
    <row r="189" spans="1:62" s="3" customFormat="1" ht="12.75">
      <c r="A189" s="4"/>
      <c r="B189" s="4"/>
      <c r="C189" s="4"/>
      <c r="D189" s="4"/>
      <c r="E189" s="4"/>
      <c r="F189" s="4"/>
      <c r="G189" s="4"/>
      <c r="H189" s="4"/>
      <c r="I189" s="5"/>
      <c r="J189" s="5"/>
      <c r="K189" s="5"/>
      <c r="L189" s="4"/>
      <c r="M189" s="65"/>
      <c r="N189" s="5"/>
      <c r="O189" s="6"/>
      <c r="P189" s="4"/>
      <c r="Q189" s="4"/>
      <c r="R189" s="4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</row>
    <row r="190" spans="1:62" s="3" customFormat="1" ht="12.75">
      <c r="A190" s="4"/>
      <c r="B190" s="4"/>
      <c r="C190" s="4"/>
      <c r="D190" s="4"/>
      <c r="E190" s="4"/>
      <c r="F190" s="4"/>
      <c r="G190" s="4"/>
      <c r="H190" s="4"/>
      <c r="I190" s="5"/>
      <c r="J190" s="5"/>
      <c r="K190" s="5"/>
      <c r="L190" s="4"/>
      <c r="M190" s="65"/>
      <c r="N190" s="5"/>
      <c r="O190" s="6"/>
      <c r="P190" s="4"/>
      <c r="Q190" s="4"/>
      <c r="R190" s="4"/>
      <c r="S190" s="41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</row>
    <row r="191" spans="1:62" s="3" customFormat="1" ht="12.75">
      <c r="A191" s="4"/>
      <c r="B191" s="4"/>
      <c r="C191" s="4"/>
      <c r="D191" s="4"/>
      <c r="E191" s="4"/>
      <c r="F191" s="4"/>
      <c r="G191" s="4"/>
      <c r="H191" s="4"/>
      <c r="I191" s="5"/>
      <c r="J191" s="5"/>
      <c r="K191" s="5"/>
      <c r="L191" s="4"/>
      <c r="M191" s="65"/>
      <c r="N191" s="5"/>
      <c r="O191" s="6"/>
      <c r="P191" s="4"/>
      <c r="Q191" s="4"/>
      <c r="R191" s="4"/>
      <c r="S191" s="41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</row>
    <row r="192" spans="1:62" s="3" customFormat="1" ht="12.75">
      <c r="A192" s="4"/>
      <c r="B192" s="4"/>
      <c r="C192" s="4"/>
      <c r="D192" s="4"/>
      <c r="E192" s="4"/>
      <c r="F192" s="4"/>
      <c r="G192" s="4"/>
      <c r="H192" s="4"/>
      <c r="I192" s="5"/>
      <c r="J192" s="5"/>
      <c r="K192" s="5"/>
      <c r="L192" s="4"/>
      <c r="M192" s="65"/>
      <c r="N192" s="5"/>
      <c r="O192" s="6"/>
      <c r="P192" s="4"/>
      <c r="Q192" s="4"/>
      <c r="R192" s="4"/>
      <c r="S192" s="41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</row>
    <row r="193" spans="1:62" s="3" customFormat="1" ht="12.75">
      <c r="A193" s="4"/>
      <c r="B193" s="4"/>
      <c r="C193" s="4"/>
      <c r="D193" s="4"/>
      <c r="E193" s="4"/>
      <c r="F193" s="4"/>
      <c r="G193" s="4"/>
      <c r="H193" s="4"/>
      <c r="I193" s="5"/>
      <c r="J193" s="5"/>
      <c r="K193" s="5"/>
      <c r="L193" s="4"/>
      <c r="M193" s="65"/>
      <c r="N193" s="5"/>
      <c r="O193" s="5"/>
      <c r="P193" s="5"/>
      <c r="Q193" s="5"/>
      <c r="R193" s="26"/>
      <c r="S193" s="4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</row>
    <row r="194" spans="1:62" s="3" customFormat="1" ht="12.75">
      <c r="A194" s="4"/>
      <c r="B194" s="4"/>
      <c r="C194" s="4"/>
      <c r="D194" s="4"/>
      <c r="E194" s="4"/>
      <c r="F194" s="4"/>
      <c r="G194" s="4"/>
      <c r="H194" s="4"/>
      <c r="I194" s="5"/>
      <c r="J194" s="5"/>
      <c r="K194" s="5"/>
      <c r="L194" s="4"/>
      <c r="M194" s="65"/>
      <c r="N194" s="5"/>
      <c r="O194" s="5"/>
      <c r="P194" s="5"/>
      <c r="Q194" s="5"/>
      <c r="R194" s="26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</row>
    <row r="195" spans="1:62" s="3" customFormat="1" ht="12.75">
      <c r="A195" s="4"/>
      <c r="B195" s="4"/>
      <c r="C195" s="4"/>
      <c r="D195" s="4"/>
      <c r="E195" s="4"/>
      <c r="F195" s="4"/>
      <c r="G195" s="4"/>
      <c r="H195" s="4"/>
      <c r="I195" s="5"/>
      <c r="J195" s="5"/>
      <c r="K195" s="5"/>
      <c r="L195" s="4"/>
      <c r="M195" s="65"/>
      <c r="N195" s="5"/>
      <c r="O195" s="5"/>
      <c r="P195" s="5"/>
      <c r="Q195" s="5"/>
      <c r="R195" s="26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</row>
    <row r="196" spans="1:62" s="3" customFormat="1" ht="12.75">
      <c r="A196" s="4"/>
      <c r="B196" s="4"/>
      <c r="C196" s="4"/>
      <c r="D196" s="4"/>
      <c r="E196" s="4"/>
      <c r="F196" s="4"/>
      <c r="G196" s="4"/>
      <c r="H196" s="4"/>
      <c r="I196" s="5"/>
      <c r="J196" s="5"/>
      <c r="K196" s="5"/>
      <c r="L196" s="4"/>
      <c r="M196" s="65"/>
      <c r="N196" s="5"/>
      <c r="O196" s="5"/>
      <c r="P196" s="5"/>
      <c r="Q196" s="5"/>
      <c r="R196" s="26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</row>
    <row r="197" spans="1:62" s="3" customFormat="1" ht="12.75">
      <c r="A197" s="4"/>
      <c r="B197" s="4"/>
      <c r="C197" s="4"/>
      <c r="D197" s="4"/>
      <c r="E197" s="4"/>
      <c r="F197" s="4"/>
      <c r="G197" s="4"/>
      <c r="H197" s="4"/>
      <c r="I197" s="5"/>
      <c r="J197" s="5"/>
      <c r="K197" s="5"/>
      <c r="L197" s="4"/>
      <c r="M197" s="65"/>
      <c r="N197" s="5"/>
      <c r="O197" s="5"/>
      <c r="P197" s="5"/>
      <c r="Q197" s="5"/>
      <c r="R197" s="26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</row>
    <row r="198" spans="29:33" ht="12.75">
      <c r="AC198" s="42"/>
      <c r="AD198" s="42"/>
      <c r="AE198" s="42"/>
      <c r="AF198" s="42"/>
      <c r="AG198" s="42"/>
    </row>
  </sheetData>
  <sheetProtection sheet="1" objects="1" scenarios="1"/>
  <mergeCells count="27">
    <mergeCell ref="A44:B44"/>
    <mergeCell ref="A49:D49"/>
    <mergeCell ref="A48:D48"/>
    <mergeCell ref="N44:O44"/>
    <mergeCell ref="I46:L46"/>
    <mergeCell ref="F33:G33"/>
    <mergeCell ref="F35:G35"/>
    <mergeCell ref="F44:L44"/>
    <mergeCell ref="F37:G37"/>
    <mergeCell ref="F39:G39"/>
    <mergeCell ref="F41:G41"/>
    <mergeCell ref="F42:G42"/>
    <mergeCell ref="F43:G43"/>
    <mergeCell ref="F21:G21"/>
    <mergeCell ref="F22:G22"/>
    <mergeCell ref="F23:G23"/>
    <mergeCell ref="D15:E15"/>
    <mergeCell ref="A1:F1"/>
    <mergeCell ref="F17:G17"/>
    <mergeCell ref="E3:F3"/>
    <mergeCell ref="F19:G19"/>
    <mergeCell ref="F31:G31"/>
    <mergeCell ref="F25:G25"/>
    <mergeCell ref="F24:G24"/>
    <mergeCell ref="F27:G27"/>
    <mergeCell ref="F29:G29"/>
    <mergeCell ref="F30:G30"/>
  </mergeCells>
  <dataValidations count="3">
    <dataValidation type="list" allowBlank="1" showInputMessage="1" showErrorMessage="1" sqref="P66:P68 P19:Q43">
      <formula1>#REF!</formula1>
    </dataValidation>
    <dataValidation type="list" allowBlank="1" showInputMessage="1" showErrorMessage="1" sqref="O40 O32 O34 O36 O38 O28">
      <formula1>$F$67:$F$81</formula1>
    </dataValidation>
    <dataValidation type="list" allowBlank="1" showInputMessage="1" showErrorMessage="1" sqref="O39 O29:O31 O37 O35 O33 O27 O21:O25 O19">
      <formula1>$A$51:$A$64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paperSize="3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K201"/>
  <sheetViews>
    <sheetView view="pageBreakPreview" zoomScale="75" zoomScaleNormal="8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46.421875" style="4" customWidth="1"/>
    <col min="2" max="2" width="19.28125" style="4" bestFit="1" customWidth="1"/>
    <col min="3" max="3" width="15.7109375" style="4" customWidth="1"/>
    <col min="4" max="4" width="15.8515625" style="4" customWidth="1"/>
    <col min="5" max="5" width="15.7109375" style="4" customWidth="1"/>
    <col min="6" max="6" width="15.57421875" style="4" customWidth="1"/>
    <col min="7" max="8" width="17.7109375" style="4" customWidth="1"/>
    <col min="9" max="9" width="16.57421875" style="5" customWidth="1"/>
    <col min="10" max="11" width="16.421875" style="5" customWidth="1"/>
    <col min="12" max="12" width="14.7109375" style="4" customWidth="1"/>
    <col min="13" max="13" width="14.7109375" style="65" customWidth="1"/>
    <col min="14" max="14" width="14.7109375" style="5" customWidth="1"/>
    <col min="15" max="15" width="38.57421875" style="5" customWidth="1"/>
    <col min="16" max="16" width="15.57421875" style="5" customWidth="1"/>
    <col min="17" max="17" width="13.28125" style="5" customWidth="1"/>
    <col min="18" max="18" width="14.7109375" style="26" hidden="1" customWidth="1"/>
    <col min="19" max="19" width="21.28125" style="4" hidden="1" customWidth="1"/>
    <col min="20" max="28" width="9.140625" style="4" hidden="1" customWidth="1"/>
    <col min="29" max="33" width="9.140625" style="36" hidden="1" customWidth="1"/>
    <col min="34" max="62" width="9.140625" style="36" customWidth="1"/>
    <col min="63" max="16384" width="9.140625" style="4" customWidth="1"/>
  </cols>
  <sheetData>
    <row r="1" spans="1:6" ht="18.75" customHeight="1">
      <c r="A1" s="238" t="s">
        <v>51</v>
      </c>
      <c r="B1" s="238"/>
      <c r="C1" s="239"/>
      <c r="D1" s="239"/>
      <c r="E1" s="239"/>
      <c r="F1" s="239"/>
    </row>
    <row r="2" spans="1:6" ht="18">
      <c r="A2" s="102"/>
      <c r="B2" s="102"/>
      <c r="C2" s="73"/>
      <c r="D2" s="73"/>
      <c r="E2" s="73"/>
      <c r="F2" s="73"/>
    </row>
    <row r="3" spans="1:6" ht="18">
      <c r="A3" s="7" t="s">
        <v>112</v>
      </c>
      <c r="B3" s="7"/>
      <c r="E3" s="254"/>
      <c r="F3" s="254"/>
    </row>
    <row r="4" spans="1:6" ht="18">
      <c r="A4" s="14"/>
      <c r="B4" s="14"/>
      <c r="E4" s="3"/>
      <c r="F4" s="3"/>
    </row>
    <row r="5" spans="1:6" ht="12.75">
      <c r="A5" s="9"/>
      <c r="B5" s="9"/>
      <c r="F5" s="9"/>
    </row>
    <row r="6" spans="1:8" ht="12.75">
      <c r="A6" s="15" t="s">
        <v>145</v>
      </c>
      <c r="B6" s="15"/>
      <c r="C6" s="16"/>
      <c r="D6" s="9"/>
      <c r="E6" s="16"/>
      <c r="F6" s="16"/>
      <c r="G6" s="16"/>
      <c r="H6" s="16"/>
    </row>
    <row r="7" spans="1:62" ht="12.75">
      <c r="A7" s="22" t="s">
        <v>26</v>
      </c>
      <c r="B7" s="23" t="s">
        <v>22</v>
      </c>
      <c r="C7" s="23" t="s">
        <v>23</v>
      </c>
      <c r="D7" s="23" t="s">
        <v>24</v>
      </c>
      <c r="E7" s="23" t="s">
        <v>25</v>
      </c>
      <c r="F7" s="106" t="s">
        <v>7</v>
      </c>
      <c r="G7" s="77"/>
      <c r="H7" s="5"/>
      <c r="K7" s="4"/>
      <c r="L7" s="65"/>
      <c r="M7" s="5"/>
      <c r="Q7" s="26"/>
      <c r="R7" s="4"/>
      <c r="AB7" s="36"/>
      <c r="BJ7" s="4"/>
    </row>
    <row r="8" spans="1:62" ht="12.75">
      <c r="A8" s="164" t="s">
        <v>95</v>
      </c>
      <c r="B8" s="201">
        <f>'Site Data'!B31</f>
        <v>0</v>
      </c>
      <c r="C8" s="201">
        <f>'Site Data'!C31</f>
        <v>0</v>
      </c>
      <c r="D8" s="201">
        <f>'Site Data'!D31</f>
        <v>0</v>
      </c>
      <c r="E8" s="201">
        <f>'Site Data'!E31</f>
        <v>0</v>
      </c>
      <c r="F8" s="18">
        <f>SUM(B8:E8)</f>
        <v>0</v>
      </c>
      <c r="G8" s="77"/>
      <c r="H8" s="5"/>
      <c r="K8" s="4"/>
      <c r="L8" s="65"/>
      <c r="M8" s="5"/>
      <c r="Q8" s="26"/>
      <c r="R8" s="4"/>
      <c r="AB8" s="36"/>
      <c r="BJ8" s="4"/>
    </row>
    <row r="9" spans="1:62" ht="12.75">
      <c r="A9" s="69" t="s">
        <v>36</v>
      </c>
      <c r="B9" s="201">
        <f>'Site Data'!B32</f>
        <v>0</v>
      </c>
      <c r="C9" s="201">
        <f>'Site Data'!C32</f>
        <v>0</v>
      </c>
      <c r="D9" s="201">
        <f>'Site Data'!D32</f>
        <v>0</v>
      </c>
      <c r="E9" s="201">
        <f>'Site Data'!E32</f>
        <v>0</v>
      </c>
      <c r="F9" s="18">
        <f>SUM(B9:E9)</f>
        <v>0</v>
      </c>
      <c r="G9" s="62"/>
      <c r="H9" s="5"/>
      <c r="K9" s="4"/>
      <c r="L9" s="65"/>
      <c r="M9" s="5"/>
      <c r="Q9" s="26"/>
      <c r="R9" s="4"/>
      <c r="AB9" s="36"/>
      <c r="BJ9" s="4"/>
    </row>
    <row r="10" spans="1:62" ht="12.75">
      <c r="A10" s="69" t="s">
        <v>14</v>
      </c>
      <c r="B10" s="201">
        <f>'Site Data'!B33</f>
        <v>0</v>
      </c>
      <c r="C10" s="201">
        <f>'Site Data'!C33</f>
        <v>0</v>
      </c>
      <c r="D10" s="201">
        <f>'Site Data'!D33</f>
        <v>0</v>
      </c>
      <c r="E10" s="201">
        <f>'Site Data'!E33</f>
        <v>0</v>
      </c>
      <c r="F10" s="18">
        <f>SUM(B10:E10)</f>
        <v>0</v>
      </c>
      <c r="G10" s="62"/>
      <c r="H10" s="5"/>
      <c r="K10" s="4"/>
      <c r="L10" s="65"/>
      <c r="M10" s="5"/>
      <c r="P10" s="67"/>
      <c r="Q10" s="26"/>
      <c r="R10" s="4"/>
      <c r="AB10" s="36"/>
      <c r="BJ10" s="4"/>
    </row>
    <row r="11" spans="1:62" ht="12.75">
      <c r="A11" s="15"/>
      <c r="B11" s="16"/>
      <c r="C11" s="19"/>
      <c r="D11" s="16"/>
      <c r="E11" s="107" t="s">
        <v>8</v>
      </c>
      <c r="F11" s="18">
        <f>SUM(F8:F10)</f>
        <v>0</v>
      </c>
      <c r="G11" s="62"/>
      <c r="H11" s="5"/>
      <c r="K11" s="4"/>
      <c r="L11" s="65"/>
      <c r="M11" s="5"/>
      <c r="Q11" s="26"/>
      <c r="R11" s="4"/>
      <c r="AB11" s="36"/>
      <c r="BJ11" s="4"/>
    </row>
    <row r="12" spans="1:62" ht="12.75">
      <c r="A12" s="15"/>
      <c r="B12" s="16"/>
      <c r="C12" s="19"/>
      <c r="D12" s="16"/>
      <c r="E12" s="107"/>
      <c r="F12" s="62"/>
      <c r="G12" s="62"/>
      <c r="H12" s="5"/>
      <c r="K12" s="4"/>
      <c r="L12" s="65"/>
      <c r="M12" s="5"/>
      <c r="Q12" s="26"/>
      <c r="R12" s="4"/>
      <c r="AB12" s="36"/>
      <c r="BJ12" s="4"/>
    </row>
    <row r="13" spans="1:62" ht="12.75">
      <c r="A13" s="118" t="s">
        <v>98</v>
      </c>
      <c r="B13" s="119">
        <f>IF(F9&gt;0,SUMPRODUCT(B9:E9,'Site Data'!B54:E54)/F9,0)</f>
        <v>0</v>
      </c>
      <c r="C13" s="19"/>
      <c r="D13" s="16"/>
      <c r="E13" s="107"/>
      <c r="F13" s="62"/>
      <c r="G13" s="62"/>
      <c r="H13" s="5"/>
      <c r="K13" s="4"/>
      <c r="L13" s="65"/>
      <c r="M13" s="5"/>
      <c r="Q13" s="26"/>
      <c r="R13" s="4"/>
      <c r="AB13" s="36"/>
      <c r="BJ13" s="4"/>
    </row>
    <row r="14" spans="1:62" ht="12.75">
      <c r="A14" s="118" t="s">
        <v>42</v>
      </c>
      <c r="B14" s="121">
        <v>0.95</v>
      </c>
      <c r="C14" s="19"/>
      <c r="D14" s="16"/>
      <c r="E14" s="108"/>
      <c r="F14" s="62"/>
      <c r="G14" s="62"/>
      <c r="H14" s="5"/>
      <c r="K14" s="4"/>
      <c r="L14" s="65"/>
      <c r="M14" s="5"/>
      <c r="Q14" s="26"/>
      <c r="R14" s="4"/>
      <c r="AB14" s="36"/>
      <c r="BJ14" s="4"/>
    </row>
    <row r="15" spans="1:61" s="16" customFormat="1" ht="18">
      <c r="A15" s="98"/>
      <c r="D15" s="255" t="s">
        <v>147</v>
      </c>
      <c r="E15" s="255"/>
      <c r="F15" s="78">
        <f>1/12*(B13*F9+B14*F10)*43560</f>
        <v>0</v>
      </c>
      <c r="G15" s="20"/>
      <c r="H15" s="72"/>
      <c r="I15" s="72"/>
      <c r="J15" s="72"/>
      <c r="L15" s="72"/>
      <c r="M15" s="73"/>
      <c r="N15" s="71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</row>
    <row r="16" spans="1:62" s="16" customFormat="1" ht="18">
      <c r="A16" s="14" t="s">
        <v>56</v>
      </c>
      <c r="B16" s="14"/>
      <c r="I16" s="72"/>
      <c r="J16" s="72"/>
      <c r="K16" s="72"/>
      <c r="M16" s="74"/>
      <c r="N16" s="72"/>
      <c r="O16" s="72"/>
      <c r="P16" s="72"/>
      <c r="Q16" s="72"/>
      <c r="R16" s="73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</row>
    <row r="17" spans="1:62" s="16" customFormat="1" ht="63.75" customHeight="1">
      <c r="A17" s="106" t="s">
        <v>57</v>
      </c>
      <c r="B17" s="106" t="s">
        <v>151</v>
      </c>
      <c r="C17" s="104" t="s">
        <v>28</v>
      </c>
      <c r="D17" s="104" t="s">
        <v>74</v>
      </c>
      <c r="E17" s="104" t="s">
        <v>68</v>
      </c>
      <c r="F17" s="252" t="s">
        <v>9</v>
      </c>
      <c r="G17" s="253"/>
      <c r="H17" s="160" t="s">
        <v>94</v>
      </c>
      <c r="I17" s="151" t="s">
        <v>69</v>
      </c>
      <c r="J17" s="66" t="s">
        <v>70</v>
      </c>
      <c r="K17" s="66" t="s">
        <v>92</v>
      </c>
      <c r="L17" s="105" t="s">
        <v>29</v>
      </c>
      <c r="M17" s="105" t="s">
        <v>71</v>
      </c>
      <c r="N17" s="142" t="s">
        <v>72</v>
      </c>
      <c r="O17" s="105" t="s">
        <v>73</v>
      </c>
      <c r="P17" s="32"/>
      <c r="Q17" s="32"/>
      <c r="R17" s="4"/>
      <c r="S17" s="146" t="s">
        <v>76</v>
      </c>
      <c r="T17" s="146" t="s">
        <v>77</v>
      </c>
      <c r="U17" s="146" t="s">
        <v>78</v>
      </c>
      <c r="V17" s="146" t="s">
        <v>79</v>
      </c>
      <c r="W17" s="202" t="s">
        <v>119</v>
      </c>
      <c r="X17" s="146" t="s">
        <v>80</v>
      </c>
      <c r="Y17" s="146" t="s">
        <v>81</v>
      </c>
      <c r="Z17" s="146" t="s">
        <v>82</v>
      </c>
      <c r="AA17" s="146" t="s">
        <v>141</v>
      </c>
      <c r="AB17" s="146" t="s">
        <v>142</v>
      </c>
      <c r="AC17" s="146" t="s">
        <v>83</v>
      </c>
      <c r="AD17" s="146" t="s">
        <v>84</v>
      </c>
      <c r="AE17" s="149" t="s">
        <v>85</v>
      </c>
      <c r="AF17" s="149" t="s">
        <v>86</v>
      </c>
      <c r="AG17" s="148" t="s">
        <v>87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</row>
    <row r="18" spans="1:62" s="16" customFormat="1" ht="12.75">
      <c r="A18" s="130" t="s">
        <v>58</v>
      </c>
      <c r="B18" s="228"/>
      <c r="C18" s="131"/>
      <c r="D18" s="131"/>
      <c r="E18" s="131"/>
      <c r="F18" s="131"/>
      <c r="G18" s="131"/>
      <c r="H18" s="131"/>
      <c r="I18" s="132"/>
      <c r="J18" s="132"/>
      <c r="K18" s="155"/>
      <c r="L18" s="133"/>
      <c r="M18" s="133"/>
      <c r="N18" s="143"/>
      <c r="O18" s="134"/>
      <c r="P18" s="32"/>
      <c r="Q18" s="32"/>
      <c r="R18" s="4"/>
      <c r="S18" s="88"/>
      <c r="T18" s="88"/>
      <c r="U18" s="88"/>
      <c r="V18" s="88"/>
      <c r="W18" s="88"/>
      <c r="X18" s="89"/>
      <c r="Y18" s="87"/>
      <c r="Z18" s="87"/>
      <c r="AA18" s="87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</row>
    <row r="19" spans="1:62" s="16" customFormat="1" ht="25.5" customHeight="1">
      <c r="A19" s="96" t="s">
        <v>59</v>
      </c>
      <c r="B19" s="231"/>
      <c r="C19" s="1"/>
      <c r="D19" s="18" t="s">
        <v>30</v>
      </c>
      <c r="E19" s="78">
        <f>1/12*0.95*C19*43560</f>
        <v>0</v>
      </c>
      <c r="F19" s="247" t="s">
        <v>75</v>
      </c>
      <c r="G19" s="248"/>
      <c r="H19" s="221">
        <v>1</v>
      </c>
      <c r="I19" s="76" t="s">
        <v>30</v>
      </c>
      <c r="J19" s="37">
        <f>E19</f>
        <v>0</v>
      </c>
      <c r="K19" s="156" t="s">
        <v>30</v>
      </c>
      <c r="L19" s="111"/>
      <c r="M19" s="79">
        <f>IF(L19*H19&lt;=J19,L19*H19,J19)</f>
        <v>0</v>
      </c>
      <c r="N19" s="154">
        <f aca="true" t="shared" si="0" ref="N19:N43">J19-M19</f>
        <v>0</v>
      </c>
      <c r="O19" s="80"/>
      <c r="P19" s="27"/>
      <c r="Q19" s="27"/>
      <c r="R19" s="4"/>
      <c r="S19" s="4">
        <f>IF($O19=S$17,$N19,0)</f>
        <v>0</v>
      </c>
      <c r="T19" s="4">
        <f aca="true" t="shared" si="1" ref="T19:AF33">IF($O19=T$17,$N19,0)</f>
        <v>0</v>
      </c>
      <c r="U19" s="4">
        <f t="shared" si="1"/>
        <v>0</v>
      </c>
      <c r="V19" s="4">
        <f t="shared" si="1"/>
        <v>0</v>
      </c>
      <c r="W19" s="4">
        <f t="shared" si="1"/>
        <v>0</v>
      </c>
      <c r="X19" s="4">
        <f t="shared" si="1"/>
        <v>0</v>
      </c>
      <c r="Y19" s="4">
        <f t="shared" si="1"/>
        <v>0</v>
      </c>
      <c r="Z19" s="4">
        <f t="shared" si="1"/>
        <v>0</v>
      </c>
      <c r="AA19" s="4">
        <f t="shared" si="1"/>
        <v>0</v>
      </c>
      <c r="AB19" s="4">
        <f t="shared" si="1"/>
        <v>0</v>
      </c>
      <c r="AC19" s="4">
        <f t="shared" si="1"/>
        <v>0</v>
      </c>
      <c r="AD19" s="4">
        <f t="shared" si="1"/>
        <v>0</v>
      </c>
      <c r="AE19" s="4">
        <f t="shared" si="1"/>
        <v>0</v>
      </c>
      <c r="AF19" s="4">
        <f t="shared" si="1"/>
        <v>0</v>
      </c>
      <c r="AG19" s="4">
        <f>IF($O19=AG$17,$N19,0)</f>
        <v>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</row>
    <row r="20" spans="1:62" s="16" customFormat="1" ht="12.75">
      <c r="A20" s="130" t="s">
        <v>60</v>
      </c>
      <c r="B20" s="228"/>
      <c r="C20" s="131"/>
      <c r="D20" s="131"/>
      <c r="E20" s="131"/>
      <c r="F20" s="131"/>
      <c r="G20" s="131"/>
      <c r="H20" s="162"/>
      <c r="I20" s="132"/>
      <c r="J20" s="132"/>
      <c r="K20" s="155"/>
      <c r="L20" s="133"/>
      <c r="M20" s="133"/>
      <c r="N20" s="143"/>
      <c r="O20" s="134"/>
      <c r="P20" s="27"/>
      <c r="Q20" s="27"/>
      <c r="R20" s="4"/>
      <c r="S20" s="4"/>
      <c r="T20" s="4"/>
      <c r="U20" s="4"/>
      <c r="V20" s="4"/>
      <c r="W20" s="4"/>
      <c r="X20" s="4"/>
      <c r="Y20" s="4"/>
      <c r="Z20" s="4"/>
      <c r="AA20" s="4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</row>
    <row r="21" spans="1:33" ht="38.25" customHeight="1">
      <c r="A21" s="146" t="s">
        <v>76</v>
      </c>
      <c r="B21" s="232"/>
      <c r="C21" s="1"/>
      <c r="D21" s="103" t="s">
        <v>30</v>
      </c>
      <c r="E21" s="78">
        <f aca="true" t="shared" si="2" ref="E21:E27">1/12*0.95*C21*43560</f>
        <v>0</v>
      </c>
      <c r="F21" s="247" t="s">
        <v>99</v>
      </c>
      <c r="G21" s="248"/>
      <c r="H21" s="221" t="s">
        <v>30</v>
      </c>
      <c r="I21" s="37">
        <f>S45</f>
        <v>0</v>
      </c>
      <c r="J21" s="37">
        <f>E21+I21</f>
        <v>0</v>
      </c>
      <c r="K21" s="215"/>
      <c r="L21" s="76" t="s">
        <v>30</v>
      </c>
      <c r="M21" s="79">
        <f>IF(K21*0.04&lt;=J21,K21*0.04,J21)</f>
        <v>0</v>
      </c>
      <c r="N21" s="154">
        <f t="shared" si="0"/>
        <v>0</v>
      </c>
      <c r="O21" s="80"/>
      <c r="P21" s="27"/>
      <c r="Q21" s="27"/>
      <c r="R21" s="4"/>
      <c r="S21" s="4">
        <f>IF($O21=S$17,$N21,0)</f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 t="shared" si="1"/>
        <v>0</v>
      </c>
      <c r="AB21" s="4">
        <f t="shared" si="1"/>
        <v>0</v>
      </c>
      <c r="AC21" s="4">
        <f t="shared" si="1"/>
        <v>0</v>
      </c>
      <c r="AD21" s="4">
        <f t="shared" si="1"/>
        <v>0</v>
      </c>
      <c r="AE21" s="4">
        <f t="shared" si="1"/>
        <v>0</v>
      </c>
      <c r="AF21" s="4">
        <f t="shared" si="1"/>
        <v>0</v>
      </c>
      <c r="AG21" s="4">
        <f>IF($O21=AG$17,$N21,0)</f>
        <v>0</v>
      </c>
    </row>
    <row r="22" spans="1:33" ht="38.25" customHeight="1">
      <c r="A22" s="146" t="s">
        <v>77</v>
      </c>
      <c r="B22" s="232"/>
      <c r="C22" s="1"/>
      <c r="D22" s="103" t="s">
        <v>30</v>
      </c>
      <c r="E22" s="78">
        <f t="shared" si="2"/>
        <v>0</v>
      </c>
      <c r="F22" s="247" t="s">
        <v>100</v>
      </c>
      <c r="G22" s="248"/>
      <c r="H22" s="221" t="s">
        <v>30</v>
      </c>
      <c r="I22" s="37">
        <f>T45</f>
        <v>0</v>
      </c>
      <c r="J22" s="37">
        <f>E22+I22</f>
        <v>0</v>
      </c>
      <c r="K22" s="215"/>
      <c r="L22" s="76" t="s">
        <v>30</v>
      </c>
      <c r="M22" s="79">
        <f>IF(K22*0.02&lt;=J22,K22*0.02,J22)</f>
        <v>0</v>
      </c>
      <c r="N22" s="154">
        <f t="shared" si="0"/>
        <v>0</v>
      </c>
      <c r="O22" s="80"/>
      <c r="P22" s="27"/>
      <c r="Q22" s="27"/>
      <c r="R22" s="4"/>
      <c r="S22" s="4">
        <f>IF($O22=S$17,$N22,0)</f>
        <v>0</v>
      </c>
      <c r="T22" s="4">
        <f t="shared" si="1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si="1"/>
        <v>0</v>
      </c>
      <c r="AB22" s="4">
        <f t="shared" si="1"/>
        <v>0</v>
      </c>
      <c r="AC22" s="4">
        <f t="shared" si="1"/>
        <v>0</v>
      </c>
      <c r="AD22" s="4">
        <f t="shared" si="1"/>
        <v>0</v>
      </c>
      <c r="AE22" s="4">
        <f t="shared" si="1"/>
        <v>0</v>
      </c>
      <c r="AF22" s="4">
        <f t="shared" si="1"/>
        <v>0</v>
      </c>
      <c r="AG22" s="4">
        <f>IF($O22=AG$17,$N22,0)</f>
        <v>0</v>
      </c>
    </row>
    <row r="23" spans="1:33" ht="25.5" customHeight="1">
      <c r="A23" s="146" t="s">
        <v>110</v>
      </c>
      <c r="B23" s="232"/>
      <c r="C23" s="1"/>
      <c r="D23" s="225"/>
      <c r="E23" s="78">
        <f>1/12*(0.95*C23+$B$13*D23)*43560</f>
        <v>0</v>
      </c>
      <c r="F23" s="247" t="s">
        <v>75</v>
      </c>
      <c r="G23" s="248"/>
      <c r="H23" s="221">
        <v>1</v>
      </c>
      <c r="I23" s="37">
        <f>U45</f>
        <v>0</v>
      </c>
      <c r="J23" s="37">
        <f>E23+I23</f>
        <v>0</v>
      </c>
      <c r="K23" s="156" t="s">
        <v>30</v>
      </c>
      <c r="L23" s="111"/>
      <c r="M23" s="79">
        <f>IF(L23*H23&lt;=J23,L23*H23,J23)</f>
        <v>0</v>
      </c>
      <c r="N23" s="154">
        <f t="shared" si="0"/>
        <v>0</v>
      </c>
      <c r="O23" s="80"/>
      <c r="P23" s="27"/>
      <c r="Q23" s="27"/>
      <c r="R23" s="4"/>
      <c r="S23" s="4">
        <f>IF($O23=S$17,$N23,0)</f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>IF($O23=AG$17,$N23,0)</f>
        <v>0</v>
      </c>
    </row>
    <row r="24" spans="1:33" ht="25.5" customHeight="1">
      <c r="A24" s="146" t="s">
        <v>79</v>
      </c>
      <c r="B24" s="232"/>
      <c r="C24" s="1"/>
      <c r="D24" s="103" t="s">
        <v>30</v>
      </c>
      <c r="E24" s="78">
        <f t="shared" si="2"/>
        <v>0</v>
      </c>
      <c r="F24" s="247" t="s">
        <v>93</v>
      </c>
      <c r="G24" s="248"/>
      <c r="H24" s="216"/>
      <c r="I24" s="37">
        <f>V45</f>
        <v>0</v>
      </c>
      <c r="J24" s="37">
        <f>E24+I24</f>
        <v>0</v>
      </c>
      <c r="K24" s="156" t="s">
        <v>30</v>
      </c>
      <c r="L24" s="111"/>
      <c r="M24" s="79">
        <f>IF(L24*H24&lt;=J24,L24*H24,J24)</f>
        <v>0</v>
      </c>
      <c r="N24" s="154">
        <f t="shared" si="0"/>
        <v>0</v>
      </c>
      <c r="O24" s="80"/>
      <c r="P24" s="27"/>
      <c r="Q24" s="27"/>
      <c r="R24" s="4"/>
      <c r="S24" s="4">
        <f>IF($O24=S$17,$N24,0)</f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1"/>
        <v>0</v>
      </c>
      <c r="AB24" s="4">
        <f t="shared" si="1"/>
        <v>0</v>
      </c>
      <c r="AC24" s="4">
        <f t="shared" si="1"/>
        <v>0</v>
      </c>
      <c r="AD24" s="4">
        <f t="shared" si="1"/>
        <v>0</v>
      </c>
      <c r="AE24" s="4">
        <f t="shared" si="1"/>
        <v>0</v>
      </c>
      <c r="AF24" s="4">
        <f t="shared" si="1"/>
        <v>0</v>
      </c>
      <c r="AG24" s="4">
        <f>IF($O24=AG$17,$N24,0)</f>
        <v>0</v>
      </c>
    </row>
    <row r="25" spans="1:33" ht="25.5" customHeight="1">
      <c r="A25" s="202" t="s">
        <v>119</v>
      </c>
      <c r="B25" s="233"/>
      <c r="C25" s="1"/>
      <c r="D25" s="103" t="s">
        <v>30</v>
      </c>
      <c r="E25" s="78">
        <f t="shared" si="2"/>
        <v>0</v>
      </c>
      <c r="F25" s="247" t="s">
        <v>75</v>
      </c>
      <c r="G25" s="248"/>
      <c r="H25" s="221">
        <v>1</v>
      </c>
      <c r="I25" s="37">
        <f>W45</f>
        <v>0</v>
      </c>
      <c r="J25" s="37">
        <f>E25+I25</f>
        <v>0</v>
      </c>
      <c r="K25" s="156" t="s">
        <v>30</v>
      </c>
      <c r="L25" s="111"/>
      <c r="M25" s="79">
        <f>IF(L25*H25&lt;=J25,L25*H25,J25)</f>
        <v>0</v>
      </c>
      <c r="N25" s="154">
        <f>J25-M25</f>
        <v>0</v>
      </c>
      <c r="O25" s="80"/>
      <c r="P25" s="27"/>
      <c r="Q25" s="27"/>
      <c r="R25" s="4"/>
      <c r="S25" s="4">
        <f>IF($O25=S$17,$N25,0)</f>
        <v>0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1"/>
        <v>0</v>
      </c>
      <c r="AB25" s="4">
        <f t="shared" si="1"/>
        <v>0</v>
      </c>
      <c r="AC25" s="4">
        <f t="shared" si="1"/>
        <v>0</v>
      </c>
      <c r="AD25" s="4">
        <f t="shared" si="1"/>
        <v>0</v>
      </c>
      <c r="AE25" s="4">
        <f t="shared" si="1"/>
        <v>0</v>
      </c>
      <c r="AF25" s="4">
        <f t="shared" si="1"/>
        <v>0</v>
      </c>
      <c r="AG25" s="4">
        <f>IF($O25=AG$17,$N25,0)</f>
        <v>0</v>
      </c>
    </row>
    <row r="26" spans="1:62" s="16" customFormat="1" ht="12.75">
      <c r="A26" s="130" t="s">
        <v>61</v>
      </c>
      <c r="B26" s="228"/>
      <c r="C26" s="131"/>
      <c r="D26" s="131"/>
      <c r="E26" s="131"/>
      <c r="F26" s="131"/>
      <c r="G26" s="131"/>
      <c r="H26" s="162"/>
      <c r="I26" s="132"/>
      <c r="J26" s="132"/>
      <c r="K26" s="155"/>
      <c r="L26" s="133"/>
      <c r="M26" s="133"/>
      <c r="N26" s="143"/>
      <c r="O26" s="134"/>
      <c r="P26" s="27"/>
      <c r="Q26" s="27"/>
      <c r="R26" s="4"/>
      <c r="S26" s="4"/>
      <c r="T26" s="4"/>
      <c r="U26" s="4"/>
      <c r="V26" s="4"/>
      <c r="W26" s="4"/>
      <c r="X26" s="4"/>
      <c r="Y26" s="4"/>
      <c r="Z26" s="4"/>
      <c r="AA26" s="4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</row>
    <row r="27" spans="1:33" ht="25.5" customHeight="1">
      <c r="A27" s="147" t="s">
        <v>140</v>
      </c>
      <c r="B27" s="234"/>
      <c r="C27" s="1"/>
      <c r="D27" s="103" t="s">
        <v>30</v>
      </c>
      <c r="E27" s="78">
        <f t="shared" si="2"/>
        <v>0</v>
      </c>
      <c r="F27" s="247" t="s">
        <v>75</v>
      </c>
      <c r="G27" s="248"/>
      <c r="H27" s="221">
        <v>1</v>
      </c>
      <c r="I27" s="76" t="s">
        <v>30</v>
      </c>
      <c r="J27" s="37">
        <f>E27</f>
        <v>0</v>
      </c>
      <c r="K27" s="156" t="s">
        <v>30</v>
      </c>
      <c r="L27" s="111"/>
      <c r="M27" s="79">
        <f>IF(L27*H27&lt;=J27,L27*H27,J27)</f>
        <v>0</v>
      </c>
      <c r="N27" s="154">
        <f t="shared" si="0"/>
        <v>0</v>
      </c>
      <c r="O27" s="80"/>
      <c r="P27" s="27"/>
      <c r="Q27" s="27"/>
      <c r="R27" s="4"/>
      <c r="S27" s="4">
        <f>IF($O27=S$17,$N27,0)</f>
        <v>0</v>
      </c>
      <c r="T27" s="4">
        <f t="shared" si="1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1"/>
        <v>0</v>
      </c>
      <c r="AB27" s="4">
        <f t="shared" si="1"/>
        <v>0</v>
      </c>
      <c r="AC27" s="4">
        <f t="shared" si="1"/>
        <v>0</v>
      </c>
      <c r="AD27" s="4">
        <f t="shared" si="1"/>
        <v>0</v>
      </c>
      <c r="AE27" s="4">
        <f t="shared" si="1"/>
        <v>0</v>
      </c>
      <c r="AF27" s="4">
        <f t="shared" si="1"/>
        <v>0</v>
      </c>
      <c r="AG27" s="4">
        <f>IF($O27=AG$17,$N27,0)</f>
        <v>0</v>
      </c>
    </row>
    <row r="28" spans="1:28" ht="12.75">
      <c r="A28" s="129" t="s">
        <v>62</v>
      </c>
      <c r="B28" s="129"/>
      <c r="C28" s="218"/>
      <c r="D28" s="135"/>
      <c r="E28" s="136"/>
      <c r="F28" s="137"/>
      <c r="G28" s="137"/>
      <c r="H28" s="163"/>
      <c r="I28" s="138"/>
      <c r="J28" s="139"/>
      <c r="K28" s="139"/>
      <c r="L28" s="138"/>
      <c r="M28" s="136"/>
      <c r="N28" s="139"/>
      <c r="O28" s="219"/>
      <c r="P28" s="27"/>
      <c r="Q28" s="27"/>
      <c r="R28" s="4"/>
      <c r="AB28" s="36"/>
    </row>
    <row r="29" spans="1:33" ht="25.5" customHeight="1">
      <c r="A29" s="147" t="s">
        <v>138</v>
      </c>
      <c r="B29" s="234"/>
      <c r="C29" s="1"/>
      <c r="D29" s="217"/>
      <c r="E29" s="78">
        <f>1/12*(0.95*C29+$B$13*D29)*43560</f>
        <v>0</v>
      </c>
      <c r="F29" s="247" t="s">
        <v>91</v>
      </c>
      <c r="G29" s="248"/>
      <c r="H29" s="221">
        <v>0.2</v>
      </c>
      <c r="I29" s="37">
        <f>X45</f>
        <v>0</v>
      </c>
      <c r="J29" s="37">
        <f aca="true" t="shared" si="3" ref="J29:J43">E29+I29</f>
        <v>0</v>
      </c>
      <c r="K29" s="156" t="s">
        <v>30</v>
      </c>
      <c r="L29" s="76" t="s">
        <v>30</v>
      </c>
      <c r="M29" s="79">
        <f>J29*H29</f>
        <v>0</v>
      </c>
      <c r="N29" s="154">
        <f t="shared" si="0"/>
        <v>0</v>
      </c>
      <c r="O29" s="80"/>
      <c r="P29" s="27"/>
      <c r="Q29" s="27"/>
      <c r="R29" s="4"/>
      <c r="S29" s="4">
        <f>IF($O29=S$17,$N29,0)</f>
        <v>0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1"/>
        <v>0</v>
      </c>
      <c r="AB29" s="4">
        <f t="shared" si="1"/>
        <v>0</v>
      </c>
      <c r="AC29" s="4">
        <f t="shared" si="1"/>
        <v>0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>IF($O29=AG$17,$N29,0)</f>
        <v>0</v>
      </c>
    </row>
    <row r="30" spans="1:33" ht="25.5" customHeight="1">
      <c r="A30" s="147" t="s">
        <v>139</v>
      </c>
      <c r="B30" s="234"/>
      <c r="C30" s="1"/>
      <c r="D30" s="217"/>
      <c r="E30" s="78">
        <f>1/12*(0.95*C30+$B$13*D30)*43560</f>
        <v>0</v>
      </c>
      <c r="F30" s="247" t="s">
        <v>90</v>
      </c>
      <c r="G30" s="248"/>
      <c r="H30" s="221">
        <v>0.1</v>
      </c>
      <c r="I30" s="37">
        <f>Y45</f>
        <v>0</v>
      </c>
      <c r="J30" s="37">
        <f t="shared" si="3"/>
        <v>0</v>
      </c>
      <c r="K30" s="156" t="s">
        <v>30</v>
      </c>
      <c r="L30" s="76" t="s">
        <v>30</v>
      </c>
      <c r="M30" s="79">
        <f>J30*H30</f>
        <v>0</v>
      </c>
      <c r="N30" s="154">
        <f t="shared" si="0"/>
        <v>0</v>
      </c>
      <c r="O30" s="80"/>
      <c r="P30" s="27"/>
      <c r="Q30" s="27"/>
      <c r="R30" s="4"/>
      <c r="S30" s="4">
        <f>IF($O30=S$17,$N30,0)</f>
        <v>0</v>
      </c>
      <c r="T30" s="4">
        <f t="shared" si="1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1"/>
        <v>0</v>
      </c>
      <c r="AB30" s="4">
        <f t="shared" si="1"/>
        <v>0</v>
      </c>
      <c r="AC30" s="4">
        <f t="shared" si="1"/>
        <v>0</v>
      </c>
      <c r="AD30" s="4">
        <f t="shared" si="1"/>
        <v>0</v>
      </c>
      <c r="AE30" s="4">
        <f t="shared" si="1"/>
        <v>0</v>
      </c>
      <c r="AF30" s="4">
        <f t="shared" si="1"/>
        <v>0</v>
      </c>
      <c r="AG30" s="4">
        <f>IF($O30=AG$17,$N30,0)</f>
        <v>0</v>
      </c>
    </row>
    <row r="31" spans="1:33" ht="25.5" customHeight="1">
      <c r="A31" s="147" t="s">
        <v>82</v>
      </c>
      <c r="B31" s="234"/>
      <c r="C31" s="1"/>
      <c r="D31" s="217"/>
      <c r="E31" s="78">
        <f>1/12*(0.95*C31+$B$13*D31)*43560</f>
        <v>0</v>
      </c>
      <c r="F31" s="247" t="s">
        <v>89</v>
      </c>
      <c r="G31" s="248"/>
      <c r="H31" s="221">
        <v>0.3</v>
      </c>
      <c r="I31" s="37">
        <f>Z45</f>
        <v>0</v>
      </c>
      <c r="J31" s="37">
        <f t="shared" si="3"/>
        <v>0</v>
      </c>
      <c r="K31" s="156" t="s">
        <v>30</v>
      </c>
      <c r="L31" s="76" t="s">
        <v>30</v>
      </c>
      <c r="M31" s="79">
        <f>J31*H31</f>
        <v>0</v>
      </c>
      <c r="N31" s="154">
        <f t="shared" si="0"/>
        <v>0</v>
      </c>
      <c r="O31" s="80"/>
      <c r="P31" s="27"/>
      <c r="Q31" s="27"/>
      <c r="R31" s="4"/>
      <c r="S31" s="4">
        <f>IF($O31=S$17,$N31,0)</f>
        <v>0</v>
      </c>
      <c r="T31" s="4">
        <f t="shared" si="1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1"/>
        <v>0</v>
      </c>
      <c r="AB31" s="4">
        <f t="shared" si="1"/>
        <v>0</v>
      </c>
      <c r="AC31" s="4">
        <f t="shared" si="1"/>
        <v>0</v>
      </c>
      <c r="AD31" s="4">
        <f t="shared" si="1"/>
        <v>0</v>
      </c>
      <c r="AE31" s="4">
        <f t="shared" si="1"/>
        <v>0</v>
      </c>
      <c r="AF31" s="4">
        <f t="shared" si="1"/>
        <v>0</v>
      </c>
      <c r="AG31" s="4">
        <f>IF($O31=AG$17,$N31,0)</f>
        <v>0</v>
      </c>
    </row>
    <row r="32" spans="1:28" ht="12.75">
      <c r="A32" s="140" t="s">
        <v>63</v>
      </c>
      <c r="B32" s="129"/>
      <c r="C32" s="218"/>
      <c r="D32" s="135"/>
      <c r="E32" s="136"/>
      <c r="F32" s="137"/>
      <c r="G32" s="137"/>
      <c r="H32" s="163"/>
      <c r="I32" s="138"/>
      <c r="J32" s="139"/>
      <c r="K32" s="139"/>
      <c r="L32" s="138"/>
      <c r="M32" s="136"/>
      <c r="N32" s="139"/>
      <c r="O32" s="219"/>
      <c r="P32" s="27"/>
      <c r="Q32" s="27"/>
      <c r="R32" s="4"/>
      <c r="AB32" s="36"/>
    </row>
    <row r="33" spans="1:33" ht="25.5" customHeight="1">
      <c r="A33" s="147" t="s">
        <v>141</v>
      </c>
      <c r="B33" s="234"/>
      <c r="C33" s="1"/>
      <c r="D33" s="217"/>
      <c r="E33" s="78">
        <f>1/12*(0.95*C33+$B$13*D33)*43560</f>
        <v>0</v>
      </c>
      <c r="F33" s="247" t="s">
        <v>75</v>
      </c>
      <c r="G33" s="248"/>
      <c r="H33" s="221">
        <v>1</v>
      </c>
      <c r="I33" s="37">
        <f>AA45</f>
        <v>0</v>
      </c>
      <c r="J33" s="37">
        <f t="shared" si="3"/>
        <v>0</v>
      </c>
      <c r="K33" s="156" t="s">
        <v>30</v>
      </c>
      <c r="L33" s="111"/>
      <c r="M33" s="79">
        <f>IF(L33*H33&lt;=J33,L33*H33,J33)</f>
        <v>0</v>
      </c>
      <c r="N33" s="154">
        <f t="shared" si="0"/>
        <v>0</v>
      </c>
      <c r="O33" s="80"/>
      <c r="P33" s="27"/>
      <c r="Q33" s="27"/>
      <c r="R33" s="4"/>
      <c r="S33" s="4">
        <f>IF($O33=S$17,$N33,0)</f>
        <v>0</v>
      </c>
      <c r="T33" s="4">
        <f t="shared" si="1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1"/>
        <v>0</v>
      </c>
      <c r="AB33" s="4">
        <f t="shared" si="1"/>
        <v>0</v>
      </c>
      <c r="AC33" s="4">
        <f t="shared" si="1"/>
        <v>0</v>
      </c>
      <c r="AD33" s="4">
        <f t="shared" si="1"/>
        <v>0</v>
      </c>
      <c r="AE33" s="4">
        <f t="shared" si="1"/>
        <v>0</v>
      </c>
      <c r="AF33" s="4">
        <f t="shared" si="1"/>
        <v>0</v>
      </c>
      <c r="AG33" s="4">
        <f>IF($O33=AG$17,$N33,0)</f>
        <v>0</v>
      </c>
    </row>
    <row r="34" spans="1:28" ht="12.75">
      <c r="A34" s="140" t="s">
        <v>64</v>
      </c>
      <c r="B34" s="129"/>
      <c r="C34" s="218"/>
      <c r="D34" s="135"/>
      <c r="E34" s="136"/>
      <c r="F34" s="137"/>
      <c r="G34" s="137"/>
      <c r="H34" s="163"/>
      <c r="I34" s="138"/>
      <c r="J34" s="139"/>
      <c r="K34" s="139"/>
      <c r="L34" s="138"/>
      <c r="M34" s="136"/>
      <c r="N34" s="139"/>
      <c r="O34" s="219"/>
      <c r="P34" s="27"/>
      <c r="Q34" s="27"/>
      <c r="R34" s="4"/>
      <c r="AB34" s="36"/>
    </row>
    <row r="35" spans="1:33" ht="25.5" customHeight="1">
      <c r="A35" s="147" t="s">
        <v>142</v>
      </c>
      <c r="B35" s="234"/>
      <c r="C35" s="1"/>
      <c r="D35" s="217"/>
      <c r="E35" s="78">
        <f>1/12*(0.95*C35+$B$13*D35)*43560</f>
        <v>0</v>
      </c>
      <c r="F35" s="247" t="s">
        <v>75</v>
      </c>
      <c r="G35" s="248"/>
      <c r="H35" s="221">
        <v>1</v>
      </c>
      <c r="I35" s="37">
        <f>AB45</f>
        <v>0</v>
      </c>
      <c r="J35" s="37">
        <f t="shared" si="3"/>
        <v>0</v>
      </c>
      <c r="K35" s="156" t="s">
        <v>30</v>
      </c>
      <c r="L35" s="111"/>
      <c r="M35" s="79">
        <f>IF(L35*H35&lt;=J35,L35*H35,J35)</f>
        <v>0</v>
      </c>
      <c r="N35" s="154">
        <f t="shared" si="0"/>
        <v>0</v>
      </c>
      <c r="O35" s="80"/>
      <c r="P35" s="27"/>
      <c r="Q35" s="27"/>
      <c r="R35" s="4"/>
      <c r="S35" s="4">
        <f aca="true" t="shared" si="4" ref="S35:AE35">IF($O35=S$17,$N35,0)</f>
        <v>0</v>
      </c>
      <c r="T35" s="4">
        <f t="shared" si="4"/>
        <v>0</v>
      </c>
      <c r="U35" s="4">
        <f t="shared" si="4"/>
        <v>0</v>
      </c>
      <c r="V35" s="4">
        <f t="shared" si="4"/>
        <v>0</v>
      </c>
      <c r="W35" s="4">
        <f t="shared" si="4"/>
        <v>0</v>
      </c>
      <c r="X35" s="4">
        <f t="shared" si="4"/>
        <v>0</v>
      </c>
      <c r="Y35" s="4">
        <f t="shared" si="4"/>
        <v>0</v>
      </c>
      <c r="Z35" s="4">
        <f t="shared" si="4"/>
        <v>0</v>
      </c>
      <c r="AA35" s="4">
        <f t="shared" si="4"/>
        <v>0</v>
      </c>
      <c r="AB35" s="4">
        <f t="shared" si="4"/>
        <v>0</v>
      </c>
      <c r="AC35" s="4">
        <f t="shared" si="4"/>
        <v>0</v>
      </c>
      <c r="AD35" s="4">
        <f t="shared" si="4"/>
        <v>0</v>
      </c>
      <c r="AE35" s="4">
        <f t="shared" si="4"/>
        <v>0</v>
      </c>
      <c r="AF35" s="4">
        <f>IF($O35=AF$17,$N35,0)</f>
        <v>0</v>
      </c>
      <c r="AG35" s="4">
        <f>IF($O35=AG$17,$N35,0)</f>
        <v>0</v>
      </c>
    </row>
    <row r="36" spans="1:28" ht="12.75">
      <c r="A36" s="141" t="s">
        <v>65</v>
      </c>
      <c r="B36" s="141"/>
      <c r="C36" s="218"/>
      <c r="D36" s="135"/>
      <c r="E36" s="136"/>
      <c r="F36" s="137"/>
      <c r="G36" s="137"/>
      <c r="H36" s="163"/>
      <c r="I36" s="138"/>
      <c r="J36" s="139"/>
      <c r="K36" s="139"/>
      <c r="L36" s="138"/>
      <c r="M36" s="136"/>
      <c r="N36" s="139"/>
      <c r="O36" s="219"/>
      <c r="P36" s="27"/>
      <c r="Q36" s="27"/>
      <c r="R36" s="4"/>
      <c r="AB36" s="36"/>
    </row>
    <row r="37" spans="1:33" ht="25.5" customHeight="1">
      <c r="A37" s="147" t="s">
        <v>83</v>
      </c>
      <c r="B37" s="234"/>
      <c r="C37" s="1"/>
      <c r="D37" s="217"/>
      <c r="E37" s="78">
        <f>1/12*(0.95*C37+$B$13*D37)*43560</f>
        <v>0</v>
      </c>
      <c r="F37" s="247" t="s">
        <v>75</v>
      </c>
      <c r="G37" s="248"/>
      <c r="H37" s="221">
        <v>1</v>
      </c>
      <c r="I37" s="37">
        <f>AC45</f>
        <v>0</v>
      </c>
      <c r="J37" s="128">
        <f t="shared" si="3"/>
        <v>0</v>
      </c>
      <c r="K37" s="156" t="s">
        <v>30</v>
      </c>
      <c r="L37" s="111"/>
      <c r="M37" s="79">
        <f>IF(L37*H37&lt;=J37,L37*H37,J37)</f>
        <v>0</v>
      </c>
      <c r="N37" s="154">
        <f t="shared" si="0"/>
        <v>0</v>
      </c>
      <c r="O37" s="80"/>
      <c r="P37" s="27"/>
      <c r="Q37" s="27"/>
      <c r="R37" s="4"/>
      <c r="S37" s="4">
        <f>IF($O37=S$17,$N37,0)</f>
        <v>0</v>
      </c>
      <c r="T37" s="4">
        <f aca="true" t="shared" si="5" ref="T37:AF37">IF($O37=T$17,$N37,0)</f>
        <v>0</v>
      </c>
      <c r="U37" s="4">
        <f t="shared" si="5"/>
        <v>0</v>
      </c>
      <c r="V37" s="4">
        <f t="shared" si="5"/>
        <v>0</v>
      </c>
      <c r="W37" s="4">
        <f t="shared" si="5"/>
        <v>0</v>
      </c>
      <c r="X37" s="4">
        <f t="shared" si="5"/>
        <v>0</v>
      </c>
      <c r="Y37" s="4">
        <f t="shared" si="5"/>
        <v>0</v>
      </c>
      <c r="Z37" s="4">
        <f t="shared" si="5"/>
        <v>0</v>
      </c>
      <c r="AA37" s="4">
        <f t="shared" si="5"/>
        <v>0</v>
      </c>
      <c r="AB37" s="4">
        <f t="shared" si="5"/>
        <v>0</v>
      </c>
      <c r="AC37" s="4">
        <f t="shared" si="5"/>
        <v>0</v>
      </c>
      <c r="AD37" s="4">
        <f t="shared" si="5"/>
        <v>0</v>
      </c>
      <c r="AE37" s="4">
        <f t="shared" si="5"/>
        <v>0</v>
      </c>
      <c r="AF37" s="4">
        <f t="shared" si="5"/>
        <v>0</v>
      </c>
      <c r="AG37" s="4">
        <f>IF($O37=AG$17,$N37,0)</f>
        <v>0</v>
      </c>
    </row>
    <row r="38" spans="1:28" ht="12.75">
      <c r="A38" s="144" t="s">
        <v>66</v>
      </c>
      <c r="B38" s="141"/>
      <c r="C38" s="218"/>
      <c r="D38" s="135"/>
      <c r="E38" s="136"/>
      <c r="F38" s="137"/>
      <c r="G38" s="137"/>
      <c r="H38" s="163"/>
      <c r="I38" s="138"/>
      <c r="J38" s="139"/>
      <c r="K38" s="139"/>
      <c r="L38" s="138"/>
      <c r="M38" s="136"/>
      <c r="N38" s="139"/>
      <c r="O38" s="219"/>
      <c r="P38" s="27"/>
      <c r="Q38" s="27"/>
      <c r="R38" s="4"/>
      <c r="AB38" s="36"/>
    </row>
    <row r="39" spans="1:33" ht="25.5" customHeight="1">
      <c r="A39" s="147" t="s">
        <v>84</v>
      </c>
      <c r="B39" s="234"/>
      <c r="C39" s="1"/>
      <c r="D39" s="217"/>
      <c r="E39" s="78">
        <f>1/12*(0.95*C39+$B$13*D39)*43560</f>
        <v>0</v>
      </c>
      <c r="F39" s="247" t="s">
        <v>132</v>
      </c>
      <c r="G39" s="248"/>
      <c r="H39" s="221">
        <v>0.1</v>
      </c>
      <c r="I39" s="37">
        <f>AD45</f>
        <v>0</v>
      </c>
      <c r="J39" s="37">
        <f t="shared" si="3"/>
        <v>0</v>
      </c>
      <c r="K39" s="156" t="s">
        <v>30</v>
      </c>
      <c r="L39" s="37" t="s">
        <v>30</v>
      </c>
      <c r="M39" s="79">
        <f>J39*H39</f>
        <v>0</v>
      </c>
      <c r="N39" s="154">
        <f t="shared" si="0"/>
        <v>0</v>
      </c>
      <c r="O39" s="80"/>
      <c r="P39" s="27"/>
      <c r="Q39" s="27"/>
      <c r="R39" s="4"/>
      <c r="S39" s="4">
        <f>IF($O39=S$17,$N39,0)</f>
        <v>0</v>
      </c>
      <c r="T39" s="4">
        <f aca="true" t="shared" si="6" ref="T39:AF39">IF($O39=T$17,$N39,0)</f>
        <v>0</v>
      </c>
      <c r="U39" s="4">
        <f t="shared" si="6"/>
        <v>0</v>
      </c>
      <c r="V39" s="4">
        <f t="shared" si="6"/>
        <v>0</v>
      </c>
      <c r="W39" s="4">
        <f t="shared" si="6"/>
        <v>0</v>
      </c>
      <c r="X39" s="4">
        <f t="shared" si="6"/>
        <v>0</v>
      </c>
      <c r="Y39" s="4">
        <f t="shared" si="6"/>
        <v>0</v>
      </c>
      <c r="Z39" s="4">
        <f t="shared" si="6"/>
        <v>0</v>
      </c>
      <c r="AA39" s="4">
        <f t="shared" si="6"/>
        <v>0</v>
      </c>
      <c r="AB39" s="4">
        <f t="shared" si="6"/>
        <v>0</v>
      </c>
      <c r="AC39" s="4">
        <f t="shared" si="6"/>
        <v>0</v>
      </c>
      <c r="AD39" s="4">
        <f t="shared" si="6"/>
        <v>0</v>
      </c>
      <c r="AE39" s="4">
        <f t="shared" si="6"/>
        <v>0</v>
      </c>
      <c r="AF39" s="4">
        <f t="shared" si="6"/>
        <v>0</v>
      </c>
      <c r="AG39" s="4">
        <f>IF($O39=AG$17,$N39,0)</f>
        <v>0</v>
      </c>
    </row>
    <row r="40" spans="1:28" ht="12.75">
      <c r="A40" s="145" t="s">
        <v>67</v>
      </c>
      <c r="B40" s="145"/>
      <c r="C40" s="218"/>
      <c r="D40" s="135"/>
      <c r="E40" s="136"/>
      <c r="F40" s="137"/>
      <c r="G40" s="137"/>
      <c r="H40" s="163"/>
      <c r="I40" s="138"/>
      <c r="J40" s="139"/>
      <c r="K40" s="139"/>
      <c r="L40" s="138"/>
      <c r="M40" s="136"/>
      <c r="N40" s="139"/>
      <c r="O40" s="219"/>
      <c r="P40" s="27"/>
      <c r="Q40" s="27"/>
      <c r="R40" s="4"/>
      <c r="AB40" s="36"/>
    </row>
    <row r="41" spans="1:28" ht="38.25" customHeight="1">
      <c r="A41" s="149" t="s">
        <v>85</v>
      </c>
      <c r="B41" s="235"/>
      <c r="C41" s="1"/>
      <c r="D41" s="217"/>
      <c r="E41" s="78">
        <f>1/12*(0.95*C41+$B$13*D41)*43560</f>
        <v>0</v>
      </c>
      <c r="F41" s="247" t="s">
        <v>101</v>
      </c>
      <c r="G41" s="248"/>
      <c r="H41" s="221" t="s">
        <v>30</v>
      </c>
      <c r="I41" s="37">
        <f>AE45</f>
        <v>0</v>
      </c>
      <c r="J41" s="37">
        <f t="shared" si="3"/>
        <v>0</v>
      </c>
      <c r="K41" s="215"/>
      <c r="L41" s="76" t="s">
        <v>30</v>
      </c>
      <c r="M41" s="79">
        <f>IF(K41*0.09&lt;=J41,K41*0.09,J41)</f>
        <v>0</v>
      </c>
      <c r="N41" s="154">
        <f t="shared" si="0"/>
        <v>0</v>
      </c>
      <c r="O41" s="220" t="s">
        <v>30</v>
      </c>
      <c r="P41" s="27"/>
      <c r="Q41" s="27"/>
      <c r="R41" s="4"/>
      <c r="AB41" s="36"/>
    </row>
    <row r="42" spans="1:28" ht="38.25" customHeight="1">
      <c r="A42" s="149" t="s">
        <v>86</v>
      </c>
      <c r="B42" s="235"/>
      <c r="C42" s="1"/>
      <c r="D42" s="217"/>
      <c r="E42" s="78">
        <f>1/12*(0.95*C42+$B$13*D42)*43560</f>
        <v>0</v>
      </c>
      <c r="F42" s="247" t="s">
        <v>102</v>
      </c>
      <c r="G42" s="248"/>
      <c r="H42" s="221" t="s">
        <v>30</v>
      </c>
      <c r="I42" s="37">
        <f>AF45</f>
        <v>0</v>
      </c>
      <c r="J42" s="37">
        <f t="shared" si="3"/>
        <v>0</v>
      </c>
      <c r="K42" s="215"/>
      <c r="L42" s="76" t="s">
        <v>30</v>
      </c>
      <c r="M42" s="79">
        <f>IF(K42*0.06&lt;=J42,K42*0.06,J42)</f>
        <v>0</v>
      </c>
      <c r="N42" s="154">
        <f t="shared" si="0"/>
        <v>0</v>
      </c>
      <c r="O42" s="220" t="s">
        <v>30</v>
      </c>
      <c r="P42" s="27"/>
      <c r="Q42" s="27"/>
      <c r="R42" s="4"/>
      <c r="AB42" s="36"/>
    </row>
    <row r="43" spans="1:28" ht="38.25" customHeight="1">
      <c r="A43" s="148" t="s">
        <v>137</v>
      </c>
      <c r="B43" s="236"/>
      <c r="C43" s="1"/>
      <c r="D43" s="217"/>
      <c r="E43" s="78">
        <f>1/12*(0.95*C43+$B$13*D43)*43560</f>
        <v>0</v>
      </c>
      <c r="F43" s="247" t="s">
        <v>102</v>
      </c>
      <c r="G43" s="248"/>
      <c r="H43" s="221" t="s">
        <v>30</v>
      </c>
      <c r="I43" s="37">
        <f>AG45</f>
        <v>0</v>
      </c>
      <c r="J43" s="37">
        <f t="shared" si="3"/>
        <v>0</v>
      </c>
      <c r="K43" s="215"/>
      <c r="L43" s="76" t="s">
        <v>30</v>
      </c>
      <c r="M43" s="79">
        <f>IF(K43*0.06&lt;=J43,K43*0.06,J43)</f>
        <v>0</v>
      </c>
      <c r="N43" s="154">
        <f t="shared" si="0"/>
        <v>0</v>
      </c>
      <c r="O43" s="220" t="s">
        <v>30</v>
      </c>
      <c r="P43" s="27"/>
      <c r="Q43" s="27"/>
      <c r="R43" s="4"/>
      <c r="AB43" s="36"/>
    </row>
    <row r="44" spans="1:34" ht="25.5" customHeight="1">
      <c r="A44" s="252" t="s">
        <v>7</v>
      </c>
      <c r="B44" s="253"/>
      <c r="C44" s="81">
        <f>SUM(C17:C43)</f>
        <v>0</v>
      </c>
      <c r="D44" s="82">
        <f>SUM(D17:D43)</f>
        <v>0</v>
      </c>
      <c r="E44" s="94"/>
      <c r="F44" s="249" t="s">
        <v>125</v>
      </c>
      <c r="G44" s="249"/>
      <c r="H44" s="249"/>
      <c r="I44" s="249"/>
      <c r="J44" s="249"/>
      <c r="K44" s="249"/>
      <c r="L44" s="257"/>
      <c r="M44" s="150">
        <f>SUM(M17:M43)</f>
        <v>0</v>
      </c>
      <c r="N44" s="244" t="s">
        <v>123</v>
      </c>
      <c r="O44" s="245"/>
      <c r="P44" s="205"/>
      <c r="Q44" s="40"/>
      <c r="R44" s="40"/>
      <c r="S44" s="9"/>
      <c r="T44" s="9"/>
      <c r="U44" s="9"/>
      <c r="V44" s="9"/>
      <c r="W44" s="9"/>
      <c r="X44" s="9"/>
      <c r="Y44" s="9"/>
      <c r="Z44" s="9"/>
      <c r="AA44" s="9"/>
      <c r="AB44" s="58"/>
      <c r="AC44" s="58"/>
      <c r="AD44" s="58"/>
      <c r="AE44" s="58"/>
      <c r="AF44" s="58"/>
      <c r="AG44" s="58"/>
      <c r="AH44" s="58"/>
    </row>
    <row r="45" spans="1:33" ht="12.75">
      <c r="A45" s="63"/>
      <c r="B45" s="63"/>
      <c r="C45" s="64"/>
      <c r="D45" s="64"/>
      <c r="E45" s="64"/>
      <c r="F45" s="5"/>
      <c r="G45" s="5"/>
      <c r="H45" s="5"/>
      <c r="R45" s="40" t="s">
        <v>7</v>
      </c>
      <c r="S45" s="40">
        <f aca="true" t="shared" si="7" ref="S45:AG45">SUM(S17:S44)</f>
        <v>0</v>
      </c>
      <c r="T45" s="40">
        <f t="shared" si="7"/>
        <v>0</v>
      </c>
      <c r="U45" s="40">
        <f t="shared" si="7"/>
        <v>0</v>
      </c>
      <c r="V45" s="40">
        <f t="shared" si="7"/>
        <v>0</v>
      </c>
      <c r="W45" s="40">
        <f t="shared" si="7"/>
        <v>0</v>
      </c>
      <c r="X45" s="40">
        <f t="shared" si="7"/>
        <v>0</v>
      </c>
      <c r="Y45" s="40">
        <f t="shared" si="7"/>
        <v>0</v>
      </c>
      <c r="Z45" s="40">
        <f t="shared" si="7"/>
        <v>0</v>
      </c>
      <c r="AA45" s="40">
        <f t="shared" si="7"/>
        <v>0</v>
      </c>
      <c r="AB45" s="40">
        <f t="shared" si="7"/>
        <v>0</v>
      </c>
      <c r="AC45" s="40">
        <f t="shared" si="7"/>
        <v>0</v>
      </c>
      <c r="AD45" s="40">
        <f t="shared" si="7"/>
        <v>0</v>
      </c>
      <c r="AE45" s="40">
        <f t="shared" si="7"/>
        <v>0</v>
      </c>
      <c r="AF45" s="40">
        <f t="shared" si="7"/>
        <v>0</v>
      </c>
      <c r="AG45" s="40">
        <f t="shared" si="7"/>
        <v>0</v>
      </c>
    </row>
    <row r="46" spans="1:28" ht="12.75">
      <c r="A46" s="63"/>
      <c r="B46" s="63"/>
      <c r="C46" s="64"/>
      <c r="D46" s="64"/>
      <c r="E46" s="64"/>
      <c r="F46" s="5"/>
      <c r="G46" s="5"/>
      <c r="H46" s="5"/>
      <c r="I46" s="256" t="s">
        <v>149</v>
      </c>
      <c r="J46" s="256"/>
      <c r="K46" s="256"/>
      <c r="L46" s="256"/>
      <c r="M46" s="226">
        <f>F15-M44</f>
        <v>0</v>
      </c>
      <c r="R46" s="5"/>
      <c r="T46" s="6"/>
      <c r="U46" s="6"/>
      <c r="V46" s="6"/>
      <c r="W46" s="6"/>
      <c r="AB46" s="36"/>
    </row>
    <row r="47" spans="1:62" s="9" customFormat="1" ht="12.75">
      <c r="A47" s="15"/>
      <c r="B47" s="15"/>
      <c r="C47" s="77"/>
      <c r="D47" s="64"/>
      <c r="E47" s="6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6"/>
      <c r="U47" s="6"/>
      <c r="V47" s="6"/>
      <c r="W47" s="6"/>
      <c r="X47" s="4"/>
      <c r="Y47" s="4"/>
      <c r="Z47" s="4"/>
      <c r="AA47" s="4"/>
      <c r="AB47" s="36"/>
      <c r="AC47" s="36"/>
      <c r="AD47" s="36"/>
      <c r="AE47" s="36"/>
      <c r="AF47" s="36"/>
      <c r="AG47" s="36"/>
      <c r="AH47" s="36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</row>
    <row r="48" spans="1:28" ht="12.75">
      <c r="A48" s="246"/>
      <c r="B48" s="246"/>
      <c r="C48" s="246"/>
      <c r="D48" s="246"/>
      <c r="E48" s="100"/>
      <c r="F48" s="5"/>
      <c r="G48" s="5"/>
      <c r="H48" s="5"/>
      <c r="L48" s="5"/>
      <c r="M48" s="5"/>
      <c r="R48" s="5"/>
      <c r="T48" s="6"/>
      <c r="U48" s="6"/>
      <c r="V48" s="6"/>
      <c r="W48" s="6"/>
      <c r="AB48" s="36"/>
    </row>
    <row r="49" spans="1:28" ht="12.75">
      <c r="A49" s="246"/>
      <c r="B49" s="246"/>
      <c r="C49" s="246"/>
      <c r="D49" s="246"/>
      <c r="E49" s="101"/>
      <c r="F49" s="5"/>
      <c r="G49" s="5"/>
      <c r="H49" s="5"/>
      <c r="L49" s="5"/>
      <c r="M49" s="5"/>
      <c r="R49" s="5"/>
      <c r="T49" s="6"/>
      <c r="U49" s="6"/>
      <c r="V49" s="6"/>
      <c r="W49" s="6"/>
      <c r="AB49" s="36"/>
    </row>
    <row r="50" spans="1:28" ht="12.75" hidden="1">
      <c r="A50" s="96" t="s">
        <v>88</v>
      </c>
      <c r="B50" s="229"/>
      <c r="C50" s="64"/>
      <c r="D50" s="35"/>
      <c r="E50" s="35"/>
      <c r="F50" s="35"/>
      <c r="G50" s="35"/>
      <c r="H50" s="35"/>
      <c r="I50" s="35"/>
      <c r="K50" s="161"/>
      <c r="L50" s="161"/>
      <c r="M50" s="161"/>
      <c r="N50" s="161"/>
      <c r="O50" s="161"/>
      <c r="R50" s="5"/>
      <c r="T50" s="6"/>
      <c r="U50" s="6"/>
      <c r="V50" s="6"/>
      <c r="W50" s="6"/>
      <c r="AB50" s="36"/>
    </row>
    <row r="51" spans="1:28" ht="25.5" hidden="1">
      <c r="A51" s="146" t="s">
        <v>76</v>
      </c>
      <c r="B51" s="230"/>
      <c r="C51" s="64"/>
      <c r="D51" s="64"/>
      <c r="E51" s="5"/>
      <c r="L51" s="5"/>
      <c r="M51" s="5"/>
      <c r="R51" s="5"/>
      <c r="T51" s="6"/>
      <c r="U51" s="6"/>
      <c r="V51" s="6"/>
      <c r="W51" s="6"/>
      <c r="AB51" s="36"/>
    </row>
    <row r="52" spans="1:28" ht="12.75" hidden="1">
      <c r="A52" s="146" t="s">
        <v>77</v>
      </c>
      <c r="B52" s="230"/>
      <c r="C52" s="64"/>
      <c r="L52" s="5"/>
      <c r="M52" s="5"/>
      <c r="R52" s="5"/>
      <c r="T52" s="6"/>
      <c r="U52" s="6"/>
      <c r="V52" s="6"/>
      <c r="W52" s="6"/>
      <c r="AB52" s="36"/>
    </row>
    <row r="53" spans="1:28" ht="12.75" customHeight="1" hidden="1">
      <c r="A53" s="146" t="s">
        <v>78</v>
      </c>
      <c r="B53" s="230"/>
      <c r="C53" s="64"/>
      <c r="D53" s="64"/>
      <c r="E53" s="157"/>
      <c r="F53" s="5"/>
      <c r="I53" s="159"/>
      <c r="L53" s="157"/>
      <c r="M53" s="5"/>
      <c r="O53" s="157"/>
      <c r="R53" s="5"/>
      <c r="T53" s="6"/>
      <c r="U53" s="6"/>
      <c r="V53" s="6"/>
      <c r="W53" s="6"/>
      <c r="AB53" s="36"/>
    </row>
    <row r="54" spans="1:28" ht="25.5" customHeight="1" hidden="1">
      <c r="A54" s="146" t="s">
        <v>79</v>
      </c>
      <c r="B54" s="230"/>
      <c r="C54" s="64"/>
      <c r="D54" s="64"/>
      <c r="E54" s="157"/>
      <c r="F54" s="5"/>
      <c r="I54" s="159"/>
      <c r="L54" s="157"/>
      <c r="M54" s="5"/>
      <c r="O54" s="157"/>
      <c r="R54" s="5"/>
      <c r="T54" s="6"/>
      <c r="U54" s="6"/>
      <c r="V54" s="6"/>
      <c r="W54" s="6"/>
      <c r="AB54" s="36"/>
    </row>
    <row r="55" spans="1:28" ht="12.75" customHeight="1" hidden="1">
      <c r="A55" s="147" t="s">
        <v>80</v>
      </c>
      <c r="B55" s="43"/>
      <c r="C55" s="64"/>
      <c r="D55" s="64"/>
      <c r="E55" s="157"/>
      <c r="F55" s="5"/>
      <c r="I55" s="159"/>
      <c r="L55" s="157"/>
      <c r="M55" s="5"/>
      <c r="O55" s="157"/>
      <c r="R55" s="5"/>
      <c r="T55" s="6"/>
      <c r="U55" s="6"/>
      <c r="V55" s="6"/>
      <c r="W55" s="6"/>
      <c r="AB55" s="36"/>
    </row>
    <row r="56" spans="1:28" ht="12.75" customHeight="1" hidden="1">
      <c r="A56" s="147" t="s">
        <v>81</v>
      </c>
      <c r="B56" s="43"/>
      <c r="C56" s="64"/>
      <c r="D56" s="64"/>
      <c r="E56" s="157"/>
      <c r="F56" s="5"/>
      <c r="I56" s="159"/>
      <c r="L56" s="157"/>
      <c r="M56" s="5"/>
      <c r="O56" s="157"/>
      <c r="R56" s="5"/>
      <c r="T56" s="6"/>
      <c r="U56" s="6"/>
      <c r="V56" s="6"/>
      <c r="W56" s="6"/>
      <c r="AB56" s="36"/>
    </row>
    <row r="57" spans="1:28" ht="12.75" customHeight="1" hidden="1">
      <c r="A57" s="147" t="s">
        <v>82</v>
      </c>
      <c r="B57" s="43"/>
      <c r="C57" s="64"/>
      <c r="D57" s="64"/>
      <c r="E57" s="157"/>
      <c r="F57" s="5"/>
      <c r="I57" s="159"/>
      <c r="L57" s="157"/>
      <c r="M57" s="5"/>
      <c r="O57" s="157"/>
      <c r="R57" s="5"/>
      <c r="T57" s="6"/>
      <c r="U57" s="6"/>
      <c r="V57" s="6"/>
      <c r="W57" s="6"/>
      <c r="AB57" s="36"/>
    </row>
    <row r="58" spans="1:28" ht="12.75" customHeight="1" hidden="1">
      <c r="A58" s="147" t="s">
        <v>141</v>
      </c>
      <c r="B58" s="43"/>
      <c r="C58" s="64"/>
      <c r="D58" s="64"/>
      <c r="E58" s="157"/>
      <c r="F58" s="5"/>
      <c r="I58" s="159"/>
      <c r="L58" s="157"/>
      <c r="M58" s="5"/>
      <c r="O58" s="157"/>
      <c r="R58" s="5"/>
      <c r="T58" s="6"/>
      <c r="U58" s="6"/>
      <c r="V58" s="6"/>
      <c r="W58" s="6"/>
      <c r="AB58" s="36"/>
    </row>
    <row r="59" spans="1:28" ht="12.75" customHeight="1" hidden="1">
      <c r="A59" s="147" t="s">
        <v>142</v>
      </c>
      <c r="B59" s="43"/>
      <c r="C59" s="64"/>
      <c r="D59" s="64"/>
      <c r="E59" s="157"/>
      <c r="F59" s="5"/>
      <c r="I59" s="159"/>
      <c r="L59" s="157"/>
      <c r="M59" s="5"/>
      <c r="O59" s="157"/>
      <c r="R59" s="5"/>
      <c r="T59" s="6"/>
      <c r="U59" s="6"/>
      <c r="V59" s="6"/>
      <c r="W59" s="6"/>
      <c r="AB59" s="36"/>
    </row>
    <row r="60" spans="1:28" ht="12.75" customHeight="1" hidden="1">
      <c r="A60" s="147" t="s">
        <v>83</v>
      </c>
      <c r="B60" s="43"/>
      <c r="C60" s="64"/>
      <c r="D60" s="64"/>
      <c r="E60" s="157"/>
      <c r="F60" s="5"/>
      <c r="I60" s="159"/>
      <c r="L60" s="157"/>
      <c r="M60" s="5"/>
      <c r="O60" s="157"/>
      <c r="R60" s="5"/>
      <c r="T60" s="6"/>
      <c r="U60" s="6"/>
      <c r="V60" s="6"/>
      <c r="W60" s="6"/>
      <c r="AB60" s="36"/>
    </row>
    <row r="61" spans="1:28" ht="12.75" customHeight="1" hidden="1">
      <c r="A61" s="152" t="s">
        <v>84</v>
      </c>
      <c r="B61" s="43"/>
      <c r="C61" s="64"/>
      <c r="D61" s="64"/>
      <c r="E61" s="157"/>
      <c r="F61" s="5"/>
      <c r="I61" s="159"/>
      <c r="L61" s="157"/>
      <c r="M61" s="5"/>
      <c r="O61" s="157"/>
      <c r="R61" s="5"/>
      <c r="T61" s="6"/>
      <c r="U61" s="6"/>
      <c r="V61" s="6"/>
      <c r="W61" s="6"/>
      <c r="AB61" s="36"/>
    </row>
    <row r="62" spans="1:28" ht="12.75" customHeight="1" hidden="1">
      <c r="A62" s="153" t="s">
        <v>85</v>
      </c>
      <c r="B62" s="222"/>
      <c r="C62" s="64"/>
      <c r="D62" s="64"/>
      <c r="E62" s="157"/>
      <c r="F62" s="5"/>
      <c r="I62" s="159"/>
      <c r="L62" s="157"/>
      <c r="M62" s="5"/>
      <c r="O62" s="157"/>
      <c r="R62" s="5"/>
      <c r="T62" s="6"/>
      <c r="U62" s="6"/>
      <c r="V62" s="6"/>
      <c r="W62" s="6"/>
      <c r="AB62" s="36"/>
    </row>
    <row r="63" spans="1:28" ht="12.75" customHeight="1" hidden="1">
      <c r="A63" s="153" t="s">
        <v>86</v>
      </c>
      <c r="B63" s="222"/>
      <c r="C63" s="64"/>
      <c r="D63" s="64"/>
      <c r="E63" s="157"/>
      <c r="F63" s="5"/>
      <c r="I63" s="159"/>
      <c r="L63" s="157"/>
      <c r="M63" s="5"/>
      <c r="O63" s="157"/>
      <c r="R63" s="5"/>
      <c r="T63" s="6"/>
      <c r="U63" s="6"/>
      <c r="V63" s="6"/>
      <c r="W63" s="6"/>
      <c r="AB63" s="36"/>
    </row>
    <row r="64" spans="1:28" ht="12.75" customHeight="1" hidden="1">
      <c r="A64" s="153" t="s">
        <v>87</v>
      </c>
      <c r="B64" s="222"/>
      <c r="C64" s="6"/>
      <c r="D64" s="64"/>
      <c r="E64" s="157"/>
      <c r="F64" s="6"/>
      <c r="I64" s="159"/>
      <c r="L64" s="157"/>
      <c r="M64" s="6"/>
      <c r="O64" s="157"/>
      <c r="P64" s="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36"/>
    </row>
    <row r="65" spans="1:28" ht="12.75" customHeight="1">
      <c r="A65" s="87"/>
      <c r="B65" s="87"/>
      <c r="C65" s="6"/>
      <c r="D65" s="64"/>
      <c r="E65" s="157"/>
      <c r="F65" s="6"/>
      <c r="I65" s="159"/>
      <c r="L65" s="157"/>
      <c r="M65" s="6"/>
      <c r="O65" s="157"/>
      <c r="P65" s="64"/>
      <c r="Q65" s="64"/>
      <c r="R65" s="64"/>
      <c r="S65" s="6"/>
      <c r="AB65" s="36"/>
    </row>
    <row r="66" spans="1:28" ht="12.75" customHeight="1">
      <c r="A66" s="87"/>
      <c r="B66" s="87"/>
      <c r="C66" s="36"/>
      <c r="D66" s="64"/>
      <c r="E66" s="157"/>
      <c r="F66" s="36"/>
      <c r="I66" s="159"/>
      <c r="L66" s="157"/>
      <c r="M66" s="34"/>
      <c r="O66" s="157"/>
      <c r="P66" s="64"/>
      <c r="Q66" s="64"/>
      <c r="R66" s="64"/>
      <c r="T66" s="109"/>
      <c r="U66" s="109"/>
      <c r="V66" s="109"/>
      <c r="W66" s="109"/>
      <c r="AB66" s="36"/>
    </row>
    <row r="67" spans="1:34" ht="12.75" customHeight="1">
      <c r="A67" s="88"/>
      <c r="B67" s="88"/>
      <c r="C67" s="36"/>
      <c r="D67" s="64"/>
      <c r="E67" s="157"/>
      <c r="F67" s="36"/>
      <c r="I67" s="159"/>
      <c r="L67" s="157"/>
      <c r="M67" s="34"/>
      <c r="O67" s="157"/>
      <c r="P67" s="64"/>
      <c r="Q67" s="64"/>
      <c r="R67" s="64"/>
      <c r="T67" s="109"/>
      <c r="U67" s="109"/>
      <c r="V67" s="109"/>
      <c r="W67" s="109"/>
      <c r="AB67" s="93"/>
      <c r="AC67" s="93"/>
      <c r="AD67" s="93"/>
      <c r="AE67" s="93"/>
      <c r="AF67" s="93"/>
      <c r="AG67" s="93"/>
      <c r="AH67" s="93"/>
    </row>
    <row r="68" spans="1:28" ht="12.75">
      <c r="A68" s="222"/>
      <c r="B68" s="222"/>
      <c r="C68" s="27"/>
      <c r="D68" s="64"/>
      <c r="E68" s="223"/>
      <c r="F68" s="27"/>
      <c r="G68" s="36"/>
      <c r="H68" s="36"/>
      <c r="I68" s="224"/>
      <c r="J68" s="34"/>
      <c r="K68" s="34"/>
      <c r="L68" s="223"/>
      <c r="M68" s="27"/>
      <c r="N68" s="34"/>
      <c r="O68" s="223"/>
      <c r="P68" s="64"/>
      <c r="Q68" s="64"/>
      <c r="R68" s="64"/>
      <c r="S68" s="27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ht="12.75">
      <c r="A69" s="222"/>
      <c r="B69" s="222"/>
      <c r="C69" s="36"/>
      <c r="D69" s="64"/>
      <c r="E69" s="223"/>
      <c r="F69" s="36"/>
      <c r="G69" s="36"/>
      <c r="H69" s="36"/>
      <c r="I69" s="224"/>
      <c r="J69" s="34"/>
      <c r="K69" s="34"/>
      <c r="L69" s="223"/>
      <c r="M69" s="34"/>
      <c r="N69" s="34"/>
      <c r="O69" s="223"/>
      <c r="P69" s="64"/>
      <c r="Q69" s="64"/>
      <c r="R69" s="64"/>
      <c r="S69" s="36"/>
      <c r="T69" s="91"/>
      <c r="U69" s="91"/>
      <c r="V69" s="91"/>
      <c r="W69" s="91"/>
      <c r="X69" s="36"/>
      <c r="Y69" s="36"/>
      <c r="Z69" s="36"/>
      <c r="AA69" s="36"/>
      <c r="AB69" s="36"/>
    </row>
    <row r="70" spans="1:49" ht="18">
      <c r="A70" s="87"/>
      <c r="B70" s="87"/>
      <c r="C70" s="36"/>
      <c r="D70" s="64"/>
      <c r="E70" s="200"/>
      <c r="F70" s="36"/>
      <c r="I70" s="159"/>
      <c r="L70" s="200"/>
      <c r="M70" s="34"/>
      <c r="O70" s="200"/>
      <c r="P70" s="64"/>
      <c r="Q70" s="64"/>
      <c r="R70" s="64"/>
      <c r="T70" s="109"/>
      <c r="U70" s="109"/>
      <c r="V70" s="109"/>
      <c r="W70" s="109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</row>
    <row r="71" spans="1:49" ht="18">
      <c r="A71" s="87"/>
      <c r="B71" s="87"/>
      <c r="C71" s="36"/>
      <c r="D71" s="64"/>
      <c r="E71" s="200"/>
      <c r="F71" s="87"/>
      <c r="I71" s="159"/>
      <c r="L71" s="200"/>
      <c r="M71" s="34"/>
      <c r="O71" s="200"/>
      <c r="P71" s="64"/>
      <c r="Q71" s="64"/>
      <c r="R71" s="64"/>
      <c r="T71" s="109"/>
      <c r="U71" s="109"/>
      <c r="V71" s="109"/>
      <c r="W71" s="109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</row>
    <row r="72" spans="1:19" ht="26.25" customHeight="1">
      <c r="A72" s="88"/>
      <c r="B72" s="88"/>
      <c r="C72" s="36"/>
      <c r="D72" s="64"/>
      <c r="E72" s="200"/>
      <c r="F72" s="87"/>
      <c r="I72" s="159"/>
      <c r="L72" s="200"/>
      <c r="M72" s="36"/>
      <c r="O72" s="200"/>
      <c r="P72" s="64"/>
      <c r="Q72" s="64"/>
      <c r="R72" s="64"/>
      <c r="S72" s="6"/>
    </row>
    <row r="73" spans="1:19" ht="26.25" customHeight="1">
      <c r="A73" s="88"/>
      <c r="B73" s="88"/>
      <c r="C73" s="36"/>
      <c r="D73" s="64"/>
      <c r="E73" s="200"/>
      <c r="F73" s="87"/>
      <c r="I73" s="159"/>
      <c r="L73" s="200"/>
      <c r="M73" s="36"/>
      <c r="O73" s="200"/>
      <c r="P73" s="38"/>
      <c r="Q73" s="4"/>
      <c r="R73" s="6"/>
      <c r="S73" s="6"/>
    </row>
    <row r="74" spans="1:23" ht="26.25" customHeight="1">
      <c r="A74" s="87"/>
      <c r="B74" s="87"/>
      <c r="C74" s="36"/>
      <c r="D74" s="88"/>
      <c r="E74" s="200"/>
      <c r="F74" s="88"/>
      <c r="I74" s="159"/>
      <c r="L74" s="200"/>
      <c r="M74" s="36"/>
      <c r="O74" s="200"/>
      <c r="P74" s="4"/>
      <c r="Q74" s="6"/>
      <c r="R74" s="6"/>
      <c r="S74" s="6"/>
      <c r="T74" s="109"/>
      <c r="U74" s="109"/>
      <c r="V74" s="109"/>
      <c r="W74" s="109"/>
    </row>
    <row r="75" spans="1:23" ht="26.25" customHeight="1">
      <c r="A75" s="89"/>
      <c r="B75" s="89"/>
      <c r="C75" s="36"/>
      <c r="D75" s="88"/>
      <c r="E75" s="200"/>
      <c r="F75" s="88"/>
      <c r="I75" s="159"/>
      <c r="L75" s="200"/>
      <c r="M75" s="36"/>
      <c r="O75" s="200"/>
      <c r="P75" s="4"/>
      <c r="Q75" s="6"/>
      <c r="R75" s="6"/>
      <c r="S75" s="6"/>
      <c r="T75" s="109"/>
      <c r="U75" s="109"/>
      <c r="V75" s="109"/>
      <c r="W75" s="109"/>
    </row>
    <row r="76" spans="1:23" ht="12.75" customHeight="1">
      <c r="A76" s="89"/>
      <c r="B76" s="89"/>
      <c r="C76" s="36"/>
      <c r="D76" s="88"/>
      <c r="E76" s="200"/>
      <c r="F76" s="87"/>
      <c r="I76" s="159"/>
      <c r="L76" s="200"/>
      <c r="M76" s="36"/>
      <c r="O76" s="200"/>
      <c r="P76" s="4"/>
      <c r="Q76" s="6"/>
      <c r="R76" s="6"/>
      <c r="S76" s="6"/>
      <c r="T76" s="109"/>
      <c r="U76" s="109"/>
      <c r="V76" s="109"/>
      <c r="W76" s="109"/>
    </row>
    <row r="77" spans="1:23" ht="12.75" customHeight="1">
      <c r="A77" s="87"/>
      <c r="B77" s="87"/>
      <c r="C77" s="42"/>
      <c r="D77" s="88"/>
      <c r="E77" s="200"/>
      <c r="F77" s="89"/>
      <c r="I77" s="159"/>
      <c r="L77" s="200"/>
      <c r="M77" s="42"/>
      <c r="O77" s="200"/>
      <c r="P77" s="4"/>
      <c r="Q77" s="6"/>
      <c r="R77" s="6"/>
      <c r="S77" s="6"/>
      <c r="T77" s="109"/>
      <c r="U77" s="109"/>
      <c r="V77" s="109"/>
      <c r="W77" s="109"/>
    </row>
    <row r="78" spans="1:19" ht="12.75">
      <c r="A78" s="87"/>
      <c r="B78" s="87"/>
      <c r="C78" s="36"/>
      <c r="D78" s="88"/>
      <c r="E78" s="200"/>
      <c r="F78" s="89"/>
      <c r="I78" s="159"/>
      <c r="L78" s="200"/>
      <c r="M78" s="42"/>
      <c r="O78" s="200"/>
      <c r="P78" s="4"/>
      <c r="Q78" s="6"/>
      <c r="R78" s="6"/>
      <c r="S78" s="6"/>
    </row>
    <row r="79" spans="1:19" ht="12.75" customHeight="1">
      <c r="A79" s="87"/>
      <c r="B79" s="87"/>
      <c r="C79" s="36"/>
      <c r="D79" s="88"/>
      <c r="E79" s="200"/>
      <c r="F79" s="87"/>
      <c r="I79" s="159"/>
      <c r="L79" s="200"/>
      <c r="M79" s="36"/>
      <c r="O79" s="200"/>
      <c r="P79" s="38"/>
      <c r="Q79" s="4"/>
      <c r="R79" s="6"/>
      <c r="S79" s="6"/>
    </row>
    <row r="80" spans="1:23" ht="12.75" customHeight="1">
      <c r="A80" s="87"/>
      <c r="B80" s="87"/>
      <c r="C80" s="36"/>
      <c r="D80" s="88"/>
      <c r="E80" s="200"/>
      <c r="F80" s="87"/>
      <c r="I80" s="159"/>
      <c r="L80" s="200"/>
      <c r="M80" s="36"/>
      <c r="O80" s="200"/>
      <c r="P80" s="4"/>
      <c r="Q80" s="6"/>
      <c r="R80" s="6"/>
      <c r="S80" s="6"/>
      <c r="T80" s="109"/>
      <c r="U80" s="109"/>
      <c r="V80" s="109"/>
      <c r="W80" s="109"/>
    </row>
    <row r="81" spans="1:23" ht="12.75" customHeight="1">
      <c r="A81" s="87"/>
      <c r="B81" s="87"/>
      <c r="C81" s="36"/>
      <c r="D81" s="88"/>
      <c r="E81" s="200"/>
      <c r="F81" s="87"/>
      <c r="I81" s="159"/>
      <c r="L81" s="200"/>
      <c r="M81" s="42"/>
      <c r="O81" s="200"/>
      <c r="P81" s="4"/>
      <c r="Q81" s="6"/>
      <c r="R81" s="6"/>
      <c r="S81" s="6"/>
      <c r="T81" s="109"/>
      <c r="U81" s="109"/>
      <c r="V81" s="109"/>
      <c r="W81" s="109"/>
    </row>
    <row r="82" spans="1:23" ht="12.75" customHeight="1">
      <c r="A82" s="87"/>
      <c r="B82" s="87"/>
      <c r="C82" s="36"/>
      <c r="D82" s="88"/>
      <c r="E82" s="200"/>
      <c r="F82" s="87"/>
      <c r="I82" s="159"/>
      <c r="L82" s="200"/>
      <c r="M82" s="36"/>
      <c r="O82" s="200"/>
      <c r="P82" s="4"/>
      <c r="Q82" s="6"/>
      <c r="R82" s="6"/>
      <c r="S82" s="6"/>
      <c r="T82" s="109"/>
      <c r="U82" s="109"/>
      <c r="V82" s="109"/>
      <c r="W82" s="109"/>
    </row>
    <row r="83" spans="1:23" ht="12.75" customHeight="1">
      <c r="A83" s="43"/>
      <c r="B83" s="43"/>
      <c r="C83" s="36"/>
      <c r="D83" s="88"/>
      <c r="E83" s="200"/>
      <c r="F83" s="87"/>
      <c r="I83" s="159"/>
      <c r="L83" s="200"/>
      <c r="M83" s="36"/>
      <c r="O83" s="200"/>
      <c r="P83" s="4"/>
      <c r="Q83" s="6"/>
      <c r="R83" s="6"/>
      <c r="S83" s="6"/>
      <c r="T83" s="109"/>
      <c r="U83" s="109"/>
      <c r="V83" s="109"/>
      <c r="W83" s="109"/>
    </row>
    <row r="84" spans="1:19" ht="12.75">
      <c r="A84" s="43"/>
      <c r="B84" s="43"/>
      <c r="C84" s="36"/>
      <c r="D84" s="88"/>
      <c r="E84" s="200"/>
      <c r="F84" s="87"/>
      <c r="I84" s="159"/>
      <c r="L84" s="200"/>
      <c r="M84" s="36"/>
      <c r="O84" s="200"/>
      <c r="P84" s="38"/>
      <c r="Q84" s="4"/>
      <c r="R84" s="6"/>
      <c r="S84" s="6"/>
    </row>
    <row r="85" spans="1:19" ht="12.75" customHeight="1">
      <c r="A85" s="43"/>
      <c r="B85" s="43"/>
      <c r="C85" s="36"/>
      <c r="D85" s="88"/>
      <c r="E85" s="200"/>
      <c r="F85" s="46"/>
      <c r="I85" s="159"/>
      <c r="L85" s="200"/>
      <c r="M85" s="36"/>
      <c r="O85" s="200"/>
      <c r="P85" s="38"/>
      <c r="Q85" s="4"/>
      <c r="R85" s="6"/>
      <c r="S85" s="6"/>
    </row>
    <row r="86" spans="1:23" ht="12.75" customHeight="1">
      <c r="A86" s="43"/>
      <c r="B86" s="43"/>
      <c r="C86" s="36"/>
      <c r="D86" s="88"/>
      <c r="E86" s="200"/>
      <c r="F86" s="36"/>
      <c r="I86" s="159"/>
      <c r="L86" s="200"/>
      <c r="M86" s="36"/>
      <c r="O86" s="200"/>
      <c r="P86" s="4"/>
      <c r="Q86" s="6"/>
      <c r="R86" s="6"/>
      <c r="S86" s="6"/>
      <c r="T86" s="109"/>
      <c r="U86" s="109"/>
      <c r="V86" s="109"/>
      <c r="W86" s="109"/>
    </row>
    <row r="87" spans="1:23" ht="12.75" customHeight="1">
      <c r="A87" s="36"/>
      <c r="B87" s="36"/>
      <c r="C87" s="36"/>
      <c r="D87" s="88"/>
      <c r="E87" s="200"/>
      <c r="F87" s="36"/>
      <c r="I87" s="159"/>
      <c r="L87" s="200"/>
      <c r="M87" s="36"/>
      <c r="O87" s="200"/>
      <c r="P87" s="4"/>
      <c r="Q87" s="4"/>
      <c r="R87" s="4"/>
      <c r="T87" s="109"/>
      <c r="U87" s="109"/>
      <c r="V87" s="109"/>
      <c r="W87" s="109"/>
    </row>
    <row r="88" spans="1:23" ht="12.75" customHeight="1">
      <c r="A88" s="36"/>
      <c r="B88" s="36"/>
      <c r="C88" s="36"/>
      <c r="D88" s="88"/>
      <c r="E88" s="200"/>
      <c r="F88" s="36"/>
      <c r="I88" s="159"/>
      <c r="L88" s="200"/>
      <c r="M88" s="36"/>
      <c r="O88" s="200"/>
      <c r="P88" s="4"/>
      <c r="Q88" s="4"/>
      <c r="R88" s="4"/>
      <c r="T88" s="109"/>
      <c r="U88" s="109"/>
      <c r="V88" s="109"/>
      <c r="W88" s="109"/>
    </row>
    <row r="89" spans="1:23" ht="12.75" customHeight="1">
      <c r="A89" s="36"/>
      <c r="B89" s="36"/>
      <c r="C89" s="36"/>
      <c r="D89" s="88"/>
      <c r="E89" s="200"/>
      <c r="F89" s="36"/>
      <c r="I89" s="159"/>
      <c r="L89" s="200"/>
      <c r="M89" s="36"/>
      <c r="O89" s="200"/>
      <c r="P89" s="4"/>
      <c r="Q89" s="4"/>
      <c r="R89" s="4"/>
      <c r="T89" s="109"/>
      <c r="U89" s="109"/>
      <c r="V89" s="109"/>
      <c r="W89" s="109"/>
    </row>
    <row r="90" spans="1:19" ht="12.75">
      <c r="A90" s="46"/>
      <c r="B90" s="46"/>
      <c r="C90" s="36"/>
      <c r="D90" s="88"/>
      <c r="E90" s="200"/>
      <c r="F90" s="36"/>
      <c r="I90" s="159"/>
      <c r="L90" s="200"/>
      <c r="M90" s="36"/>
      <c r="O90" s="200"/>
      <c r="R90" s="5"/>
      <c r="S90" s="6"/>
    </row>
    <row r="91" spans="1:62" s="6" customFormat="1" ht="12.75" customHeight="1">
      <c r="A91" s="46"/>
      <c r="B91" s="46"/>
      <c r="C91" s="36"/>
      <c r="D91" s="88"/>
      <c r="E91" s="200"/>
      <c r="F91" s="36"/>
      <c r="G91" s="4"/>
      <c r="H91" s="4"/>
      <c r="I91" s="159"/>
      <c r="K91" s="5"/>
      <c r="L91" s="200"/>
      <c r="M91" s="36"/>
      <c r="N91" s="5"/>
      <c r="O91" s="200"/>
      <c r="P91" s="5"/>
      <c r="Q91" s="5"/>
      <c r="R91" s="5"/>
      <c r="T91" s="4"/>
      <c r="U91" s="4"/>
      <c r="V91" s="4"/>
      <c r="W91" s="4"/>
      <c r="X91" s="4"/>
      <c r="Y91" s="4"/>
      <c r="Z91" s="4"/>
      <c r="AA91" s="4"/>
      <c r="AB91" s="4"/>
      <c r="AC91" s="36"/>
      <c r="AD91" s="36"/>
      <c r="AE91" s="36"/>
      <c r="AF91" s="36"/>
      <c r="AG91" s="36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</row>
    <row r="92" spans="1:19" ht="12.75" customHeight="1">
      <c r="A92" s="63"/>
      <c r="B92" s="63"/>
      <c r="C92" s="36"/>
      <c r="D92" s="88"/>
      <c r="E92" s="200"/>
      <c r="F92" s="36"/>
      <c r="I92" s="159"/>
      <c r="L92" s="200"/>
      <c r="M92" s="36"/>
      <c r="O92" s="200"/>
      <c r="R92" s="5"/>
      <c r="S92" s="6"/>
    </row>
    <row r="93" spans="1:18" ht="12.75" customHeight="1">
      <c r="A93" s="87"/>
      <c r="B93" s="87"/>
      <c r="C93" s="36"/>
      <c r="D93" s="88"/>
      <c r="E93" s="200"/>
      <c r="F93" s="36"/>
      <c r="I93" s="159"/>
      <c r="L93" s="200"/>
      <c r="M93" s="36"/>
      <c r="O93" s="200"/>
      <c r="R93" s="5"/>
    </row>
    <row r="94" spans="1:18" ht="12.75" customHeight="1">
      <c r="A94" s="87"/>
      <c r="B94" s="87"/>
      <c r="C94" s="36"/>
      <c r="D94" s="88"/>
      <c r="E94" s="200"/>
      <c r="F94" s="36"/>
      <c r="I94" s="159"/>
      <c r="L94" s="200"/>
      <c r="M94" s="36"/>
      <c r="O94" s="200"/>
      <c r="R94" s="5"/>
    </row>
    <row r="95" spans="1:63" s="36" customFormat="1" ht="27" customHeight="1">
      <c r="A95" s="87"/>
      <c r="B95" s="87"/>
      <c r="D95" s="88"/>
      <c r="E95" s="200"/>
      <c r="F95" s="87"/>
      <c r="G95" s="4"/>
      <c r="H95" s="4"/>
      <c r="I95" s="159"/>
      <c r="K95" s="5"/>
      <c r="L95" s="200"/>
      <c r="N95" s="5"/>
      <c r="O95" s="200"/>
      <c r="P95" s="34"/>
      <c r="Q95" s="34"/>
      <c r="R95" s="34"/>
      <c r="T95" s="27"/>
      <c r="U95" s="27"/>
      <c r="V95" s="27"/>
      <c r="W95" s="27"/>
      <c r="X95" s="27"/>
      <c r="Y95" s="27"/>
      <c r="Z95" s="27"/>
      <c r="AA95" s="27"/>
      <c r="AB95" s="27"/>
      <c r="BK95" s="4"/>
    </row>
    <row r="96" spans="1:63" s="36" customFormat="1" ht="12.75">
      <c r="A96" s="88"/>
      <c r="B96" s="88"/>
      <c r="D96" s="88"/>
      <c r="E96" s="200"/>
      <c r="F96" s="87"/>
      <c r="G96" s="4"/>
      <c r="H96" s="4"/>
      <c r="I96" s="159"/>
      <c r="K96" s="5"/>
      <c r="L96" s="200"/>
      <c r="N96" s="5"/>
      <c r="O96" s="200"/>
      <c r="P96" s="34"/>
      <c r="Q96" s="34"/>
      <c r="R96" s="34"/>
      <c r="BK96" s="4"/>
    </row>
    <row r="97" spans="1:63" s="36" customFormat="1" ht="12.75">
      <c r="A97" s="87"/>
      <c r="B97" s="87"/>
      <c r="D97" s="87"/>
      <c r="F97" s="87"/>
      <c r="K97" s="5"/>
      <c r="L97" s="200"/>
      <c r="N97" s="5"/>
      <c r="O97" s="200"/>
      <c r="P97" s="34"/>
      <c r="Q97" s="34"/>
      <c r="R97" s="34"/>
      <c r="BK97" s="4"/>
    </row>
    <row r="98" spans="1:63" s="36" customFormat="1" ht="12.75">
      <c r="A98" s="89"/>
      <c r="B98" s="89"/>
      <c r="D98" s="88"/>
      <c r="F98" s="88"/>
      <c r="K98" s="5"/>
      <c r="L98" s="200"/>
      <c r="N98" s="5"/>
      <c r="O98" s="200"/>
      <c r="BK98" s="4"/>
    </row>
    <row r="99" spans="1:63" s="36" customFormat="1" ht="12.75">
      <c r="A99" s="89"/>
      <c r="B99" s="89"/>
      <c r="D99" s="88"/>
      <c r="E99" s="42"/>
      <c r="F99" s="87"/>
      <c r="K99" s="5"/>
      <c r="L99" s="200"/>
      <c r="N99" s="5"/>
      <c r="O99" s="200"/>
      <c r="S99" s="27"/>
      <c r="BK99" s="4"/>
    </row>
    <row r="100" spans="1:63" s="36" customFormat="1" ht="39.75" customHeight="1">
      <c r="A100" s="87"/>
      <c r="B100" s="87"/>
      <c r="D100" s="87"/>
      <c r="E100" s="42"/>
      <c r="F100" s="89"/>
      <c r="K100" s="5"/>
      <c r="L100" s="200"/>
      <c r="N100" s="5"/>
      <c r="O100" s="200"/>
      <c r="S100" s="27"/>
      <c r="AC100" s="91"/>
      <c r="AD100" s="91"/>
      <c r="AE100" s="91"/>
      <c r="AF100" s="91"/>
      <c r="AG100" s="91"/>
      <c r="BK100" s="4"/>
    </row>
    <row r="101" spans="1:63" s="36" customFormat="1" ht="32.25" customHeight="1">
      <c r="A101" s="87"/>
      <c r="B101" s="87"/>
      <c r="D101" s="89"/>
      <c r="E101" s="42"/>
      <c r="F101" s="89"/>
      <c r="K101" s="5"/>
      <c r="L101" s="200"/>
      <c r="M101" s="42"/>
      <c r="N101" s="5"/>
      <c r="O101" s="200"/>
      <c r="S101" s="27"/>
      <c r="BK101" s="4"/>
    </row>
    <row r="102" spans="1:63" s="36" customFormat="1" ht="12.75">
      <c r="A102" s="87"/>
      <c r="B102" s="87"/>
      <c r="D102" s="89"/>
      <c r="E102" s="42"/>
      <c r="F102" s="87"/>
      <c r="K102" s="5"/>
      <c r="L102" s="200"/>
      <c r="M102" s="42"/>
      <c r="N102" s="5"/>
      <c r="O102" s="200"/>
      <c r="S102" s="27"/>
      <c r="BK102" s="4"/>
    </row>
    <row r="103" spans="1:63" s="36" customFormat="1" ht="12.75">
      <c r="A103" s="87"/>
      <c r="B103" s="87"/>
      <c r="C103" s="42"/>
      <c r="D103" s="87"/>
      <c r="E103" s="42"/>
      <c r="F103" s="87"/>
      <c r="K103" s="5"/>
      <c r="L103" s="200"/>
      <c r="M103" s="42"/>
      <c r="N103" s="5"/>
      <c r="O103" s="200"/>
      <c r="S103" s="27"/>
      <c r="BK103" s="4"/>
    </row>
    <row r="104" spans="1:63" s="36" customFormat="1" ht="12.75">
      <c r="A104" s="87"/>
      <c r="B104" s="87"/>
      <c r="C104" s="42"/>
      <c r="D104" s="87"/>
      <c r="E104" s="42"/>
      <c r="F104" s="87"/>
      <c r="K104" s="5"/>
      <c r="L104" s="200"/>
      <c r="M104" s="42"/>
      <c r="N104" s="5"/>
      <c r="O104" s="200"/>
      <c r="S104" s="27"/>
      <c r="BK104" s="4"/>
    </row>
    <row r="105" spans="1:63" s="36" customFormat="1" ht="12.75">
      <c r="A105" s="87"/>
      <c r="B105" s="87"/>
      <c r="C105" s="42"/>
      <c r="D105" s="87"/>
      <c r="E105" s="42"/>
      <c r="F105" s="87"/>
      <c r="K105" s="5"/>
      <c r="L105" s="200"/>
      <c r="M105" s="42"/>
      <c r="N105" s="5"/>
      <c r="O105" s="200"/>
      <c r="S105" s="27"/>
      <c r="BK105" s="4"/>
    </row>
    <row r="106" spans="1:63" s="36" customFormat="1" ht="12.75">
      <c r="A106" s="43"/>
      <c r="B106" s="43"/>
      <c r="C106" s="42"/>
      <c r="D106" s="87"/>
      <c r="E106" s="42"/>
      <c r="F106" s="87"/>
      <c r="K106" s="90"/>
      <c r="L106" s="200"/>
      <c r="M106" s="42"/>
      <c r="N106" s="90"/>
      <c r="O106" s="158"/>
      <c r="S106" s="27"/>
      <c r="BK106" s="4"/>
    </row>
    <row r="107" spans="1:28" ht="12.75">
      <c r="A107" s="43"/>
      <c r="B107" s="43"/>
      <c r="C107" s="42"/>
      <c r="D107" s="87"/>
      <c r="E107" s="42"/>
      <c r="F107" s="87"/>
      <c r="G107" s="42"/>
      <c r="H107" s="42"/>
      <c r="I107" s="42"/>
      <c r="J107" s="42"/>
      <c r="K107" s="42"/>
      <c r="L107" s="87"/>
      <c r="M107" s="42"/>
      <c r="N107" s="87"/>
      <c r="O107" s="27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2.75">
      <c r="A108" s="36"/>
      <c r="B108" s="36"/>
      <c r="C108" s="42"/>
      <c r="D108" s="87"/>
      <c r="E108" s="42"/>
      <c r="F108" s="36"/>
      <c r="G108" s="42"/>
      <c r="H108" s="42"/>
      <c r="I108" s="42"/>
      <c r="J108" s="42"/>
      <c r="K108" s="42"/>
      <c r="L108" s="36"/>
      <c r="M108" s="42"/>
      <c r="N108" s="87"/>
      <c r="O108" s="27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2.75">
      <c r="A109" s="36"/>
      <c r="B109" s="36"/>
      <c r="C109" s="42"/>
      <c r="D109" s="46"/>
      <c r="E109" s="42"/>
      <c r="F109" s="36"/>
      <c r="G109" s="42"/>
      <c r="H109" s="42"/>
      <c r="I109" s="42"/>
      <c r="J109" s="42"/>
      <c r="K109" s="42"/>
      <c r="L109" s="36"/>
      <c r="M109" s="42"/>
      <c r="N109" s="87"/>
      <c r="O109" s="42"/>
      <c r="P109" s="36"/>
      <c r="Q109" s="36"/>
      <c r="R109" s="36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2.75">
      <c r="A110" s="36"/>
      <c r="B110" s="36"/>
      <c r="C110" s="42"/>
      <c r="D110" s="36"/>
      <c r="E110" s="42"/>
      <c r="F110" s="36"/>
      <c r="G110" s="42"/>
      <c r="H110" s="42"/>
      <c r="I110" s="42"/>
      <c r="J110" s="42"/>
      <c r="K110" s="42"/>
      <c r="L110" s="36"/>
      <c r="M110" s="42"/>
      <c r="N110" s="87"/>
      <c r="O110" s="27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2.75" customHeight="1">
      <c r="A111" s="46"/>
      <c r="B111" s="46"/>
      <c r="C111" s="42"/>
      <c r="D111" s="36"/>
      <c r="E111" s="42"/>
      <c r="F111" s="36"/>
      <c r="G111" s="42"/>
      <c r="H111" s="42"/>
      <c r="I111" s="42"/>
      <c r="J111" s="42"/>
      <c r="K111" s="42"/>
      <c r="L111" s="36"/>
      <c r="M111" s="42"/>
      <c r="N111" s="87"/>
      <c r="O111" s="27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12.75">
      <c r="A112" s="46"/>
      <c r="B112" s="46"/>
      <c r="C112" s="42"/>
      <c r="D112" s="36"/>
      <c r="E112" s="42"/>
      <c r="F112" s="36"/>
      <c r="G112" s="42"/>
      <c r="H112" s="42"/>
      <c r="I112" s="42"/>
      <c r="J112" s="42"/>
      <c r="K112" s="42"/>
      <c r="L112" s="36"/>
      <c r="M112" s="42"/>
      <c r="N112" s="36"/>
      <c r="O112" s="27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2.75">
      <c r="A113" s="36"/>
      <c r="B113" s="36"/>
      <c r="C113" s="42"/>
      <c r="D113" s="36"/>
      <c r="E113" s="42"/>
      <c r="F113" s="36"/>
      <c r="G113" s="42"/>
      <c r="H113" s="42"/>
      <c r="I113" s="42"/>
      <c r="J113" s="42"/>
      <c r="K113" s="42"/>
      <c r="L113" s="36"/>
      <c r="M113" s="42"/>
      <c r="N113" s="36"/>
      <c r="O113" s="27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s="27" customFormat="1" ht="12.75">
      <c r="A114" s="87"/>
      <c r="B114" s="87"/>
      <c r="C114" s="42"/>
      <c r="D114" s="36"/>
      <c r="E114" s="42"/>
      <c r="F114" s="36"/>
      <c r="G114" s="42"/>
      <c r="H114" s="42"/>
      <c r="I114" s="42"/>
      <c r="J114" s="42"/>
      <c r="K114" s="42"/>
      <c r="L114" s="36"/>
      <c r="M114" s="42"/>
      <c r="N114" s="42"/>
      <c r="O114" s="3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2.75">
      <c r="A115" s="87"/>
      <c r="B115" s="87"/>
      <c r="C115" s="34"/>
      <c r="D115" s="36"/>
      <c r="E115" s="42"/>
      <c r="F115" s="42"/>
      <c r="G115" s="42"/>
      <c r="H115" s="42"/>
      <c r="I115" s="42"/>
      <c r="J115" s="42"/>
      <c r="K115" s="42"/>
      <c r="L115" s="42"/>
      <c r="M115" s="42"/>
      <c r="N115" s="35"/>
      <c r="O115" s="3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2.75" customHeight="1">
      <c r="A116" s="87"/>
      <c r="B116" s="87"/>
      <c r="C116" s="36"/>
      <c r="D116" s="87"/>
      <c r="E116" s="42"/>
      <c r="F116" s="87"/>
      <c r="G116" s="42"/>
      <c r="H116" s="42"/>
      <c r="I116" s="42"/>
      <c r="J116" s="42"/>
      <c r="K116" s="42"/>
      <c r="L116" s="87"/>
      <c r="M116" s="42"/>
      <c r="N116" s="87"/>
      <c r="O116" s="3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42.75" customHeight="1">
      <c r="A117" s="88"/>
      <c r="B117" s="88"/>
      <c r="C117" s="36"/>
      <c r="D117" s="87"/>
      <c r="E117" s="42"/>
      <c r="F117" s="87"/>
      <c r="G117" s="42"/>
      <c r="H117" s="42"/>
      <c r="I117" s="42"/>
      <c r="J117" s="42"/>
      <c r="K117" s="42"/>
      <c r="L117" s="87"/>
      <c r="M117" s="42"/>
      <c r="N117" s="87"/>
      <c r="O117" s="3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12.75">
      <c r="A118" s="88"/>
      <c r="B118" s="88"/>
      <c r="C118" s="42"/>
      <c r="D118" s="87"/>
      <c r="E118" s="42"/>
      <c r="F118" s="87"/>
      <c r="G118" s="42"/>
      <c r="H118" s="42"/>
      <c r="I118" s="42"/>
      <c r="J118" s="42"/>
      <c r="K118" s="42"/>
      <c r="L118" s="87"/>
      <c r="M118" s="42"/>
      <c r="N118" s="87"/>
      <c r="O118" s="3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ht="12.75">
      <c r="A119" s="87"/>
      <c r="B119" s="87"/>
      <c r="C119" s="42"/>
      <c r="D119" s="88"/>
      <c r="E119" s="42"/>
      <c r="F119" s="88"/>
      <c r="G119" s="42"/>
      <c r="H119" s="42"/>
      <c r="I119" s="36"/>
      <c r="J119" s="36"/>
      <c r="K119" s="36"/>
      <c r="L119" s="88"/>
      <c r="M119" s="42"/>
      <c r="N119" s="88"/>
      <c r="O119" s="3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ht="12.75">
      <c r="A120" s="89"/>
      <c r="B120" s="89"/>
      <c r="C120" s="42"/>
      <c r="D120" s="88"/>
      <c r="E120" s="42"/>
      <c r="F120" s="88"/>
      <c r="G120" s="42"/>
      <c r="H120" s="42"/>
      <c r="I120" s="36"/>
      <c r="J120" s="36"/>
      <c r="K120" s="36"/>
      <c r="L120" s="88"/>
      <c r="M120" s="42"/>
      <c r="N120" s="88"/>
      <c r="O120" s="34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ht="12.75">
      <c r="A121" s="87"/>
      <c r="B121" s="87"/>
      <c r="C121" s="42"/>
      <c r="D121" s="87"/>
      <c r="E121" s="42"/>
      <c r="F121" s="87"/>
      <c r="G121" s="42"/>
      <c r="H121" s="42"/>
      <c r="I121" s="36"/>
      <c r="J121" s="36"/>
      <c r="K121" s="36"/>
      <c r="L121" s="87"/>
      <c r="M121" s="34"/>
      <c r="N121" s="87"/>
      <c r="O121" s="3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ht="12.75">
      <c r="A122" s="87"/>
      <c r="B122" s="87"/>
      <c r="C122" s="42"/>
      <c r="D122" s="89"/>
      <c r="E122" s="42"/>
      <c r="F122" s="89"/>
      <c r="G122" s="42"/>
      <c r="H122" s="42"/>
      <c r="I122" s="36"/>
      <c r="J122" s="36"/>
      <c r="K122" s="36"/>
      <c r="L122" s="89"/>
      <c r="M122" s="34"/>
      <c r="N122" s="89"/>
      <c r="O122" s="34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63" s="36" customFormat="1" ht="12.75">
      <c r="A123" s="87"/>
      <c r="B123" s="87"/>
      <c r="C123" s="42"/>
      <c r="D123" s="87"/>
      <c r="F123" s="89"/>
      <c r="G123" s="42"/>
      <c r="H123" s="42"/>
      <c r="L123" s="89"/>
      <c r="M123" s="34"/>
      <c r="N123" s="89"/>
      <c r="O123" s="34"/>
      <c r="BK123" s="4"/>
    </row>
    <row r="124" spans="1:63" s="36" customFormat="1" ht="12.75">
      <c r="A124" s="87"/>
      <c r="B124" s="87"/>
      <c r="C124" s="42"/>
      <c r="D124" s="87"/>
      <c r="F124" s="87"/>
      <c r="G124" s="42"/>
      <c r="H124" s="42"/>
      <c r="L124" s="87"/>
      <c r="M124" s="34"/>
      <c r="N124" s="87"/>
      <c r="O124" s="34"/>
      <c r="BK124" s="4"/>
    </row>
    <row r="125" spans="1:63" s="36" customFormat="1" ht="12.75">
      <c r="A125" s="87"/>
      <c r="B125" s="87"/>
      <c r="C125" s="42"/>
      <c r="D125" s="87"/>
      <c r="F125" s="87"/>
      <c r="G125" s="42"/>
      <c r="H125" s="42"/>
      <c r="L125" s="87"/>
      <c r="M125" s="34"/>
      <c r="N125" s="87"/>
      <c r="O125" s="27"/>
      <c r="BK125" s="4"/>
    </row>
    <row r="126" spans="1:63" s="36" customFormat="1" ht="12.75">
      <c r="A126" s="87"/>
      <c r="B126" s="87"/>
      <c r="C126" s="42"/>
      <c r="D126" s="87"/>
      <c r="F126" s="87"/>
      <c r="L126" s="87"/>
      <c r="M126" s="34"/>
      <c r="N126" s="87"/>
      <c r="O126" s="27"/>
      <c r="BK126" s="4"/>
    </row>
    <row r="127" spans="1:63" s="36" customFormat="1" ht="12.75">
      <c r="A127" s="43"/>
      <c r="B127" s="43"/>
      <c r="C127" s="42"/>
      <c r="D127" s="87"/>
      <c r="F127" s="87"/>
      <c r="L127" s="87"/>
      <c r="M127" s="34"/>
      <c r="N127" s="87"/>
      <c r="O127" s="34"/>
      <c r="BK127" s="4"/>
    </row>
    <row r="128" spans="1:63" s="36" customFormat="1" ht="12.75">
      <c r="A128" s="43"/>
      <c r="B128" s="43"/>
      <c r="C128" s="42"/>
      <c r="D128" s="87"/>
      <c r="F128" s="87"/>
      <c r="L128" s="87"/>
      <c r="M128" s="34"/>
      <c r="N128" s="87"/>
      <c r="O128" s="34"/>
      <c r="BK128" s="4"/>
    </row>
    <row r="129" spans="1:63" s="36" customFormat="1" ht="12.75">
      <c r="A129" s="88"/>
      <c r="B129" s="88"/>
      <c r="C129" s="42"/>
      <c r="D129" s="46"/>
      <c r="M129" s="34"/>
      <c r="O129" s="34"/>
      <c r="BK129" s="4"/>
    </row>
    <row r="130" spans="1:63" s="36" customFormat="1" ht="12.75">
      <c r="A130" s="88"/>
      <c r="B130" s="88"/>
      <c r="C130" s="42"/>
      <c r="D130" s="46"/>
      <c r="M130" s="34"/>
      <c r="O130" s="42"/>
      <c r="P130" s="27"/>
      <c r="Q130" s="27"/>
      <c r="R130" s="27"/>
      <c r="BK130" s="4"/>
    </row>
    <row r="131" spans="3:63" s="36" customFormat="1" ht="12.75">
      <c r="C131" s="42"/>
      <c r="D131" s="88"/>
      <c r="F131" s="27"/>
      <c r="G131" s="42"/>
      <c r="H131" s="42"/>
      <c r="I131" s="34"/>
      <c r="J131" s="34"/>
      <c r="K131" s="34"/>
      <c r="M131" s="34"/>
      <c r="O131" s="42"/>
      <c r="P131" s="27"/>
      <c r="Q131" s="27"/>
      <c r="R131" s="27"/>
      <c r="BK131" s="4"/>
    </row>
    <row r="132" spans="1:63" s="36" customFormat="1" ht="12.75">
      <c r="A132" s="46"/>
      <c r="B132" s="46"/>
      <c r="C132" s="42"/>
      <c r="D132" s="88"/>
      <c r="G132" s="42"/>
      <c r="H132" s="42"/>
      <c r="I132" s="34"/>
      <c r="J132" s="34"/>
      <c r="K132" s="34"/>
      <c r="L132" s="27"/>
      <c r="M132" s="34"/>
      <c r="O132" s="42"/>
      <c r="P132" s="27"/>
      <c r="Q132" s="27"/>
      <c r="R132" s="27"/>
      <c r="BK132" s="4"/>
    </row>
    <row r="133" spans="1:63" s="36" customFormat="1" ht="12.75">
      <c r="A133" s="46"/>
      <c r="B133" s="46"/>
      <c r="C133" s="42"/>
      <c r="F133" s="42"/>
      <c r="G133" s="42"/>
      <c r="H133" s="42"/>
      <c r="I133" s="34"/>
      <c r="J133" s="34"/>
      <c r="K133" s="34"/>
      <c r="M133" s="34"/>
      <c r="O133" s="42"/>
      <c r="P133" s="27"/>
      <c r="Q133" s="27"/>
      <c r="R133" s="27"/>
      <c r="BK133" s="4"/>
    </row>
    <row r="134" spans="3:63" s="36" customFormat="1" ht="12.75">
      <c r="C134" s="42"/>
      <c r="G134" s="42"/>
      <c r="H134" s="42"/>
      <c r="I134" s="34"/>
      <c r="J134" s="34"/>
      <c r="K134" s="34"/>
      <c r="L134" s="42"/>
      <c r="M134" s="34"/>
      <c r="O134" s="42"/>
      <c r="P134" s="27"/>
      <c r="Q134" s="27"/>
      <c r="R134" s="27"/>
      <c r="BK134" s="4"/>
    </row>
    <row r="135" spans="3:63" s="36" customFormat="1" ht="12.75">
      <c r="C135" s="42"/>
      <c r="G135" s="42"/>
      <c r="H135" s="42"/>
      <c r="I135" s="34"/>
      <c r="J135" s="34"/>
      <c r="K135" s="34"/>
      <c r="M135" s="34"/>
      <c r="N135" s="35"/>
      <c r="O135" s="42"/>
      <c r="P135" s="27"/>
      <c r="Q135" s="27"/>
      <c r="R135" s="27"/>
      <c r="BK135" s="4"/>
    </row>
    <row r="136" spans="3:63" s="36" customFormat="1" ht="12.75">
      <c r="C136" s="42"/>
      <c r="I136" s="34"/>
      <c r="J136" s="34"/>
      <c r="K136" s="34"/>
      <c r="M136" s="34"/>
      <c r="N136" s="27"/>
      <c r="O136" s="42"/>
      <c r="P136" s="27"/>
      <c r="Q136" s="27"/>
      <c r="R136" s="27"/>
      <c r="BK136" s="4"/>
    </row>
    <row r="137" spans="3:63" s="36" customFormat="1" ht="12.75">
      <c r="C137" s="42"/>
      <c r="I137" s="34"/>
      <c r="J137" s="34"/>
      <c r="K137" s="34"/>
      <c r="M137" s="34"/>
      <c r="N137" s="35"/>
      <c r="O137" s="42"/>
      <c r="P137" s="27"/>
      <c r="Q137" s="27"/>
      <c r="R137" s="27"/>
      <c r="BK137" s="4"/>
    </row>
    <row r="138" spans="3:63" s="36" customFormat="1" ht="12.75">
      <c r="C138" s="42"/>
      <c r="D138" s="27"/>
      <c r="I138" s="34"/>
      <c r="J138" s="34"/>
      <c r="K138" s="34"/>
      <c r="M138" s="34"/>
      <c r="N138" s="42"/>
      <c r="O138" s="42"/>
      <c r="P138" s="27"/>
      <c r="Q138" s="27"/>
      <c r="R138" s="27"/>
      <c r="BK138" s="4"/>
    </row>
    <row r="139" spans="1:28" ht="12.75">
      <c r="A139" s="36"/>
      <c r="B139" s="36"/>
      <c r="C139" s="42"/>
      <c r="D139" s="36"/>
      <c r="E139" s="36"/>
      <c r="F139" s="36"/>
      <c r="G139" s="36"/>
      <c r="H139" s="36"/>
      <c r="I139" s="34"/>
      <c r="J139" s="34"/>
      <c r="K139" s="34"/>
      <c r="L139" s="36"/>
      <c r="M139" s="34"/>
      <c r="N139" s="36"/>
      <c r="O139" s="42"/>
      <c r="P139" s="92"/>
      <c r="Q139" s="92"/>
      <c r="R139" s="92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2.75">
      <c r="A140" s="36"/>
      <c r="B140" s="36"/>
      <c r="C140" s="36"/>
      <c r="D140" s="42"/>
      <c r="E140" s="36"/>
      <c r="F140" s="36"/>
      <c r="G140" s="36"/>
      <c r="H140" s="36"/>
      <c r="I140" s="34"/>
      <c r="J140" s="34"/>
      <c r="K140" s="34"/>
      <c r="L140" s="36"/>
      <c r="M140" s="34"/>
      <c r="N140" s="36"/>
      <c r="O140" s="42"/>
      <c r="P140" s="27"/>
      <c r="Q140" s="27"/>
      <c r="R140" s="27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2.75">
      <c r="A141" s="27"/>
      <c r="B141" s="27"/>
      <c r="C141" s="36"/>
      <c r="D141" s="44"/>
      <c r="E141" s="36"/>
      <c r="F141" s="36"/>
      <c r="G141" s="36"/>
      <c r="H141" s="36"/>
      <c r="I141" s="34"/>
      <c r="J141" s="34"/>
      <c r="K141" s="34"/>
      <c r="L141" s="36"/>
      <c r="M141" s="34"/>
      <c r="N141" s="36"/>
      <c r="O141" s="92"/>
      <c r="P141" s="27"/>
      <c r="Q141" s="27"/>
      <c r="R141" s="27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2.75">
      <c r="A142" s="36"/>
      <c r="B142" s="36"/>
      <c r="C142" s="36"/>
      <c r="D142" s="45"/>
      <c r="E142" s="36"/>
      <c r="F142" s="36"/>
      <c r="G142" s="36"/>
      <c r="H142" s="36"/>
      <c r="I142" s="34"/>
      <c r="J142" s="34"/>
      <c r="K142" s="34"/>
      <c r="L142" s="36"/>
      <c r="M142" s="34"/>
      <c r="N142" s="36"/>
      <c r="O142" s="92"/>
      <c r="P142" s="27"/>
      <c r="Q142" s="27"/>
      <c r="R142" s="27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2.75">
      <c r="A143" s="42"/>
      <c r="B143" s="42"/>
      <c r="C143" s="36"/>
      <c r="D143" s="45"/>
      <c r="E143" s="36"/>
      <c r="F143" s="36"/>
      <c r="G143" s="36"/>
      <c r="H143" s="36"/>
      <c r="I143" s="34"/>
      <c r="J143" s="34"/>
      <c r="K143" s="34"/>
      <c r="L143" s="36"/>
      <c r="M143" s="34"/>
      <c r="N143" s="36"/>
      <c r="O143" s="92"/>
      <c r="P143" s="27"/>
      <c r="Q143" s="27"/>
      <c r="R143" s="27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2.75">
      <c r="A144" s="44"/>
      <c r="B144" s="44"/>
      <c r="C144" s="36"/>
      <c r="D144" s="45"/>
      <c r="E144" s="36"/>
      <c r="F144" s="36"/>
      <c r="G144" s="36"/>
      <c r="H144" s="36"/>
      <c r="I144" s="34"/>
      <c r="J144" s="34"/>
      <c r="K144" s="34"/>
      <c r="L144" s="36"/>
      <c r="M144" s="34"/>
      <c r="N144" s="36"/>
      <c r="O144" s="92"/>
      <c r="P144" s="27"/>
      <c r="Q144" s="27"/>
      <c r="R144" s="27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2.75">
      <c r="A145" s="45"/>
      <c r="B145" s="45"/>
      <c r="C145" s="36"/>
      <c r="D145" s="43"/>
      <c r="E145" s="36"/>
      <c r="F145" s="36"/>
      <c r="G145" s="36"/>
      <c r="H145" s="36"/>
      <c r="I145" s="34"/>
      <c r="J145" s="34"/>
      <c r="K145" s="34"/>
      <c r="L145" s="36"/>
      <c r="M145" s="34"/>
      <c r="N145" s="35"/>
      <c r="O145" s="92"/>
      <c r="P145" s="27"/>
      <c r="Q145" s="27"/>
      <c r="R145" s="27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2.75">
      <c r="A146" s="45"/>
      <c r="B146" s="45"/>
      <c r="C146" s="36"/>
      <c r="D146" s="43"/>
      <c r="E146" s="36"/>
      <c r="F146" s="36"/>
      <c r="G146" s="36"/>
      <c r="H146" s="36"/>
      <c r="I146" s="34"/>
      <c r="J146" s="34"/>
      <c r="K146" s="34"/>
      <c r="L146" s="36"/>
      <c r="M146" s="34"/>
      <c r="N146" s="35"/>
      <c r="O146" s="92"/>
      <c r="P146" s="43"/>
      <c r="Q146" s="27"/>
      <c r="R146" s="27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2.75">
      <c r="A147" s="45"/>
      <c r="B147" s="45"/>
      <c r="C147" s="36"/>
      <c r="D147" s="43"/>
      <c r="E147" s="36"/>
      <c r="F147" s="36"/>
      <c r="G147" s="36"/>
      <c r="H147" s="36"/>
      <c r="I147" s="34"/>
      <c r="J147" s="34"/>
      <c r="K147" s="34"/>
      <c r="L147" s="36"/>
      <c r="M147" s="34"/>
      <c r="N147" s="35"/>
      <c r="O147" s="92"/>
      <c r="P147" s="43"/>
      <c r="Q147" s="27"/>
      <c r="R147" s="27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2.75">
      <c r="A148" s="43"/>
      <c r="B148" s="43"/>
      <c r="C148" s="36"/>
      <c r="D148" s="43"/>
      <c r="E148" s="36"/>
      <c r="F148" s="36"/>
      <c r="G148" s="36"/>
      <c r="H148" s="36"/>
      <c r="I148" s="34"/>
      <c r="J148" s="34"/>
      <c r="K148" s="34"/>
      <c r="L148" s="36"/>
      <c r="M148" s="34"/>
      <c r="N148" s="35"/>
      <c r="O148" s="42"/>
      <c r="P148" s="46"/>
      <c r="Q148" s="27"/>
      <c r="R148" s="27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2.75">
      <c r="A149" s="43"/>
      <c r="B149" s="43"/>
      <c r="C149" s="36"/>
      <c r="D149" s="43"/>
      <c r="E149" s="36"/>
      <c r="F149" s="36"/>
      <c r="G149" s="36"/>
      <c r="H149" s="36"/>
      <c r="I149" s="34"/>
      <c r="J149" s="34"/>
      <c r="K149" s="34"/>
      <c r="L149" s="36"/>
      <c r="M149" s="34"/>
      <c r="N149" s="35"/>
      <c r="O149" s="42"/>
      <c r="P149" s="46"/>
      <c r="Q149" s="27"/>
      <c r="R149" s="27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ht="12.75">
      <c r="A150" s="43"/>
      <c r="B150" s="43"/>
      <c r="C150" s="36"/>
      <c r="D150" s="43"/>
      <c r="E150" s="36"/>
      <c r="F150" s="36"/>
      <c r="G150" s="36"/>
      <c r="H150" s="36"/>
      <c r="I150" s="34"/>
      <c r="J150" s="34"/>
      <c r="K150" s="34"/>
      <c r="L150" s="36"/>
      <c r="M150" s="34"/>
      <c r="N150" s="35"/>
      <c r="O150" s="42"/>
      <c r="P150" s="43"/>
      <c r="Q150" s="27"/>
      <c r="R150" s="27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2.75">
      <c r="A151" s="43"/>
      <c r="B151" s="43"/>
      <c r="C151" s="36"/>
      <c r="D151" s="36"/>
      <c r="E151" s="36"/>
      <c r="F151" s="36"/>
      <c r="G151" s="36"/>
      <c r="H151" s="36"/>
      <c r="I151" s="34"/>
      <c r="J151" s="34"/>
      <c r="K151" s="34"/>
      <c r="L151" s="36"/>
      <c r="M151" s="34"/>
      <c r="N151" s="35"/>
      <c r="O151" s="90"/>
      <c r="P151" s="43"/>
      <c r="Q151" s="27"/>
      <c r="R151" s="27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ht="12.75">
      <c r="A152" s="43"/>
      <c r="B152" s="43"/>
      <c r="C152" s="36"/>
      <c r="D152" s="36"/>
      <c r="E152" s="36"/>
      <c r="F152" s="36"/>
      <c r="G152" s="36"/>
      <c r="H152" s="36"/>
      <c r="I152" s="34"/>
      <c r="J152" s="34"/>
      <c r="K152" s="34"/>
      <c r="L152" s="36"/>
      <c r="M152" s="34"/>
      <c r="N152" s="35"/>
      <c r="O152" s="34"/>
      <c r="P152" s="43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2.75">
      <c r="A153" s="43"/>
      <c r="B153" s="43"/>
      <c r="C153" s="36"/>
      <c r="D153" s="36"/>
      <c r="E153" s="36"/>
      <c r="F153" s="36"/>
      <c r="G153" s="36"/>
      <c r="H153" s="36"/>
      <c r="I153" s="34"/>
      <c r="J153" s="34"/>
      <c r="K153" s="34"/>
      <c r="L153" s="36"/>
      <c r="M153" s="34"/>
      <c r="N153" s="35"/>
      <c r="O153" s="3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ht="12.75">
      <c r="A154" s="36"/>
      <c r="B154" s="36"/>
      <c r="C154" s="36"/>
      <c r="D154" s="46"/>
      <c r="E154" s="36"/>
      <c r="F154" s="36"/>
      <c r="G154" s="36"/>
      <c r="H154" s="36"/>
      <c r="I154" s="34"/>
      <c r="J154" s="34"/>
      <c r="K154" s="34"/>
      <c r="L154" s="36"/>
      <c r="M154" s="34"/>
      <c r="N154" s="35"/>
      <c r="O154" s="34"/>
      <c r="P154" s="36"/>
      <c r="Q154" s="36"/>
      <c r="R154" s="36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</row>
    <row r="155" spans="1:28" ht="12.75">
      <c r="A155" s="36"/>
      <c r="B155" s="36"/>
      <c r="C155" s="36"/>
      <c r="D155" s="46"/>
      <c r="E155" s="36"/>
      <c r="F155" s="36"/>
      <c r="G155" s="36"/>
      <c r="H155" s="36"/>
      <c r="I155" s="34"/>
      <c r="J155" s="34"/>
      <c r="K155" s="34"/>
      <c r="L155" s="36"/>
      <c r="M155" s="34"/>
      <c r="N155" s="35"/>
      <c r="O155" s="3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ht="12.75">
      <c r="A156" s="36"/>
      <c r="B156" s="36"/>
      <c r="C156" s="36"/>
      <c r="D156" s="36"/>
      <c r="E156" s="36"/>
      <c r="F156" s="36"/>
      <c r="G156" s="36"/>
      <c r="H156" s="36"/>
      <c r="I156" s="34"/>
      <c r="J156" s="34"/>
      <c r="K156" s="34"/>
      <c r="L156" s="36"/>
      <c r="M156" s="34"/>
      <c r="N156" s="35"/>
      <c r="O156" s="3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:28" ht="12.75">
      <c r="A157" s="46"/>
      <c r="B157" s="46"/>
      <c r="C157" s="36"/>
      <c r="D157" s="36"/>
      <c r="E157" s="36"/>
      <c r="F157" s="36"/>
      <c r="G157" s="36"/>
      <c r="H157" s="36"/>
      <c r="I157" s="34"/>
      <c r="J157" s="34"/>
      <c r="K157" s="34"/>
      <c r="L157" s="36"/>
      <c r="M157" s="34"/>
      <c r="N157" s="35"/>
      <c r="O157" s="34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:28" ht="12.75">
      <c r="A158" s="46"/>
      <c r="B158" s="46"/>
      <c r="C158" s="36"/>
      <c r="D158" s="36"/>
      <c r="E158" s="36"/>
      <c r="F158" s="36"/>
      <c r="G158" s="36"/>
      <c r="H158" s="36"/>
      <c r="I158" s="34"/>
      <c r="J158" s="34"/>
      <c r="K158" s="34"/>
      <c r="L158" s="36"/>
      <c r="M158" s="34"/>
      <c r="N158" s="35"/>
      <c r="O158" s="34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:28" s="42" customFormat="1" ht="12.75">
      <c r="A159" s="36"/>
      <c r="B159" s="36"/>
      <c r="C159" s="36"/>
      <c r="D159" s="36"/>
      <c r="E159" s="36"/>
      <c r="F159" s="36"/>
      <c r="G159" s="36"/>
      <c r="H159" s="36"/>
      <c r="I159" s="34"/>
      <c r="J159" s="34"/>
      <c r="K159" s="34"/>
      <c r="L159" s="36"/>
      <c r="M159" s="34"/>
      <c r="N159" s="34"/>
      <c r="O159" s="34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:28" ht="12.75">
      <c r="A160" s="36"/>
      <c r="B160" s="36"/>
      <c r="C160" s="36"/>
      <c r="D160" s="36"/>
      <c r="E160" s="36"/>
      <c r="F160" s="36"/>
      <c r="G160" s="36"/>
      <c r="H160" s="36"/>
      <c r="I160" s="34"/>
      <c r="J160" s="34"/>
      <c r="K160" s="34"/>
      <c r="L160" s="36"/>
      <c r="M160" s="34"/>
      <c r="N160" s="34"/>
      <c r="O160" s="34"/>
      <c r="P160" s="42"/>
      <c r="Q160" s="42"/>
      <c r="R160" s="42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:28" ht="12.75">
      <c r="A161" s="36"/>
      <c r="B161" s="36"/>
      <c r="C161" s="36"/>
      <c r="D161" s="36"/>
      <c r="E161" s="36"/>
      <c r="F161" s="36"/>
      <c r="G161" s="36"/>
      <c r="H161" s="36"/>
      <c r="I161" s="34"/>
      <c r="J161" s="34"/>
      <c r="K161" s="34"/>
      <c r="L161" s="36"/>
      <c r="M161" s="34"/>
      <c r="N161" s="34"/>
      <c r="O161" s="34"/>
      <c r="P161" s="42"/>
      <c r="Q161" s="42"/>
      <c r="R161" s="42"/>
      <c r="S161" s="27"/>
      <c r="T161" s="43"/>
      <c r="U161" s="36"/>
      <c r="V161" s="36"/>
      <c r="W161" s="36"/>
      <c r="X161" s="36"/>
      <c r="Y161" s="36"/>
      <c r="Z161" s="36"/>
      <c r="AA161" s="36"/>
      <c r="AB161" s="36"/>
    </row>
    <row r="162" spans="1:28" ht="12.75">
      <c r="A162" s="36"/>
      <c r="B162" s="36"/>
      <c r="C162" s="36"/>
      <c r="D162" s="36"/>
      <c r="E162" s="36"/>
      <c r="F162" s="36"/>
      <c r="G162" s="36"/>
      <c r="H162" s="36"/>
      <c r="I162" s="34"/>
      <c r="J162" s="34"/>
      <c r="K162" s="34"/>
      <c r="L162" s="36"/>
      <c r="M162" s="33"/>
      <c r="N162" s="34"/>
      <c r="O162" s="27"/>
      <c r="P162" s="42"/>
      <c r="Q162" s="42"/>
      <c r="R162" s="42"/>
      <c r="S162" s="27"/>
      <c r="T162" s="46"/>
      <c r="U162" s="36"/>
      <c r="V162" s="36"/>
      <c r="W162" s="36"/>
      <c r="X162" s="36"/>
      <c r="Y162" s="36"/>
      <c r="Z162" s="36"/>
      <c r="AA162" s="36"/>
      <c r="AB162" s="36"/>
    </row>
    <row r="163" spans="1:28" ht="12.75">
      <c r="A163" s="36"/>
      <c r="B163" s="36"/>
      <c r="C163" s="36"/>
      <c r="D163" s="36"/>
      <c r="E163" s="36"/>
      <c r="F163" s="36"/>
      <c r="G163" s="36"/>
      <c r="H163" s="36"/>
      <c r="I163" s="34"/>
      <c r="J163" s="34"/>
      <c r="K163" s="34"/>
      <c r="L163" s="36"/>
      <c r="M163" s="33"/>
      <c r="N163" s="34"/>
      <c r="O163" s="27"/>
      <c r="P163" s="42"/>
      <c r="Q163" s="42"/>
      <c r="R163" s="42"/>
      <c r="S163" s="27"/>
      <c r="T163" s="46"/>
      <c r="U163" s="36"/>
      <c r="V163" s="36"/>
      <c r="W163" s="36"/>
      <c r="X163" s="36"/>
      <c r="Y163" s="36"/>
      <c r="Z163" s="36"/>
      <c r="AA163" s="36"/>
      <c r="AB163" s="36"/>
    </row>
    <row r="164" spans="1:28" ht="12.75">
      <c r="A164" s="36"/>
      <c r="B164" s="36"/>
      <c r="C164" s="36"/>
      <c r="D164" s="36"/>
      <c r="E164" s="36"/>
      <c r="F164" s="36"/>
      <c r="G164" s="36"/>
      <c r="H164" s="36"/>
      <c r="I164" s="34"/>
      <c r="J164" s="34"/>
      <c r="K164" s="34"/>
      <c r="L164" s="36"/>
      <c r="M164" s="33"/>
      <c r="N164" s="34"/>
      <c r="O164" s="27"/>
      <c r="P164" s="42"/>
      <c r="Q164" s="42"/>
      <c r="R164" s="42"/>
      <c r="S164" s="27"/>
      <c r="T164" s="43"/>
      <c r="U164" s="36"/>
      <c r="V164" s="36"/>
      <c r="W164" s="36"/>
      <c r="X164" s="36"/>
      <c r="Y164" s="36"/>
      <c r="Z164" s="36"/>
      <c r="AA164" s="36"/>
      <c r="AB164" s="36"/>
    </row>
    <row r="165" spans="1:28" ht="12.75">
      <c r="A165" s="36"/>
      <c r="B165" s="36"/>
      <c r="C165" s="36"/>
      <c r="D165" s="36"/>
      <c r="E165" s="36"/>
      <c r="F165" s="36"/>
      <c r="G165" s="36"/>
      <c r="H165" s="36"/>
      <c r="I165" s="34"/>
      <c r="J165" s="34"/>
      <c r="K165" s="34"/>
      <c r="L165" s="36"/>
      <c r="M165" s="33"/>
      <c r="N165" s="34"/>
      <c r="O165" s="27"/>
      <c r="P165" s="42"/>
      <c r="Q165" s="42"/>
      <c r="R165" s="42"/>
      <c r="S165" s="27"/>
      <c r="T165" s="43"/>
      <c r="U165" s="36"/>
      <c r="V165" s="36"/>
      <c r="W165" s="36"/>
      <c r="X165" s="36"/>
      <c r="Y165" s="36"/>
      <c r="Z165" s="36"/>
      <c r="AA165" s="36"/>
      <c r="AB165" s="36"/>
    </row>
    <row r="166" spans="1:28" ht="12.75">
      <c r="A166" s="36"/>
      <c r="B166" s="36"/>
      <c r="C166" s="36"/>
      <c r="D166" s="36"/>
      <c r="E166" s="36"/>
      <c r="F166" s="36"/>
      <c r="G166" s="36"/>
      <c r="H166" s="36"/>
      <c r="I166" s="34"/>
      <c r="J166" s="34"/>
      <c r="K166" s="34"/>
      <c r="L166" s="36"/>
      <c r="M166" s="33"/>
      <c r="N166" s="34"/>
      <c r="O166" s="27"/>
      <c r="P166" s="42"/>
      <c r="Q166" s="42"/>
      <c r="R166" s="42"/>
      <c r="S166" s="27"/>
      <c r="T166" s="43"/>
      <c r="U166" s="36"/>
      <c r="V166" s="36"/>
      <c r="W166" s="36"/>
      <c r="X166" s="36"/>
      <c r="Y166" s="36"/>
      <c r="Z166" s="36"/>
      <c r="AA166" s="36"/>
      <c r="AB166" s="36"/>
    </row>
    <row r="167" spans="1:28" ht="12.75">
      <c r="A167" s="36"/>
      <c r="B167" s="36"/>
      <c r="C167" s="36"/>
      <c r="D167" s="36"/>
      <c r="E167" s="36"/>
      <c r="F167" s="36"/>
      <c r="G167" s="36"/>
      <c r="H167" s="36"/>
      <c r="I167" s="34"/>
      <c r="J167" s="34"/>
      <c r="K167" s="34"/>
      <c r="L167" s="36"/>
      <c r="M167" s="33"/>
      <c r="N167" s="34"/>
      <c r="O167" s="27"/>
      <c r="P167" s="42"/>
      <c r="Q167" s="42"/>
      <c r="R167" s="42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2.75">
      <c r="A168" s="36"/>
      <c r="B168" s="36"/>
      <c r="C168" s="36"/>
      <c r="D168" s="36"/>
      <c r="E168" s="36"/>
      <c r="F168" s="36"/>
      <c r="G168" s="36"/>
      <c r="H168" s="36"/>
      <c r="I168" s="34"/>
      <c r="J168" s="34"/>
      <c r="K168" s="34"/>
      <c r="L168" s="36"/>
      <c r="M168" s="33"/>
      <c r="N168" s="34"/>
      <c r="O168" s="27"/>
      <c r="P168" s="42"/>
      <c r="Q168" s="42"/>
      <c r="R168" s="42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2.75">
      <c r="A169" s="36"/>
      <c r="B169" s="36"/>
      <c r="C169" s="36"/>
      <c r="D169" s="36"/>
      <c r="E169" s="36"/>
      <c r="F169" s="36"/>
      <c r="G169" s="36"/>
      <c r="H169" s="36"/>
      <c r="I169" s="34"/>
      <c r="J169" s="34"/>
      <c r="K169" s="34"/>
      <c r="L169" s="36"/>
      <c r="M169" s="33"/>
      <c r="N169" s="34"/>
      <c r="O169" s="27"/>
      <c r="P169" s="42"/>
      <c r="Q169" s="42"/>
      <c r="R169" s="42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2.75">
      <c r="A170" s="36"/>
      <c r="B170" s="36"/>
      <c r="C170" s="36"/>
      <c r="D170" s="36"/>
      <c r="E170" s="36"/>
      <c r="F170" s="36"/>
      <c r="G170" s="36"/>
      <c r="H170" s="36"/>
      <c r="I170" s="34"/>
      <c r="J170" s="34"/>
      <c r="K170" s="34"/>
      <c r="L170" s="36"/>
      <c r="M170" s="33"/>
      <c r="N170" s="34"/>
      <c r="O170" s="27"/>
      <c r="P170" s="42"/>
      <c r="Q170" s="42"/>
      <c r="R170" s="42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:28" ht="12.75">
      <c r="A171" s="36"/>
      <c r="B171" s="36"/>
      <c r="C171" s="36"/>
      <c r="D171" s="36"/>
      <c r="E171" s="36"/>
      <c r="F171" s="36"/>
      <c r="G171" s="36"/>
      <c r="H171" s="36"/>
      <c r="I171" s="34"/>
      <c r="J171" s="34"/>
      <c r="K171" s="34"/>
      <c r="L171" s="36"/>
      <c r="M171" s="33"/>
      <c r="N171" s="34"/>
      <c r="O171" s="27"/>
      <c r="P171" s="42"/>
      <c r="Q171" s="42"/>
      <c r="R171" s="42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:28" ht="12.75">
      <c r="A172" s="36"/>
      <c r="B172" s="36"/>
      <c r="C172" s="36"/>
      <c r="D172" s="36"/>
      <c r="E172" s="36"/>
      <c r="F172" s="36"/>
      <c r="G172" s="36"/>
      <c r="H172" s="36"/>
      <c r="I172" s="34"/>
      <c r="J172" s="34"/>
      <c r="K172" s="34"/>
      <c r="L172" s="36"/>
      <c r="M172" s="33"/>
      <c r="N172" s="34"/>
      <c r="O172" s="27"/>
      <c r="P172" s="42"/>
      <c r="Q172" s="42"/>
      <c r="R172" s="42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:28" ht="12.75">
      <c r="A173" s="36"/>
      <c r="B173" s="36"/>
      <c r="C173" s="36"/>
      <c r="D173" s="36"/>
      <c r="E173" s="36"/>
      <c r="F173" s="36"/>
      <c r="G173" s="36"/>
      <c r="H173" s="36"/>
      <c r="I173" s="34"/>
      <c r="J173" s="34"/>
      <c r="K173" s="34"/>
      <c r="L173" s="36"/>
      <c r="M173" s="33"/>
      <c r="N173" s="34"/>
      <c r="O173" s="27"/>
      <c r="P173" s="42"/>
      <c r="Q173" s="42"/>
      <c r="R173" s="42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:28" ht="12.75">
      <c r="A174" s="36"/>
      <c r="B174" s="36"/>
      <c r="C174" s="36"/>
      <c r="D174" s="36"/>
      <c r="E174" s="36"/>
      <c r="F174" s="36"/>
      <c r="G174" s="36"/>
      <c r="H174" s="36"/>
      <c r="I174" s="34"/>
      <c r="J174" s="34"/>
      <c r="K174" s="34"/>
      <c r="L174" s="36"/>
      <c r="M174" s="33"/>
      <c r="N174" s="34"/>
      <c r="O174" s="27"/>
      <c r="P174" s="42"/>
      <c r="Q174" s="42"/>
      <c r="R174" s="42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:28" ht="12.75">
      <c r="A175" s="36"/>
      <c r="B175" s="36"/>
      <c r="C175" s="36"/>
      <c r="D175" s="36"/>
      <c r="E175" s="36"/>
      <c r="F175" s="36"/>
      <c r="G175" s="36"/>
      <c r="H175" s="36"/>
      <c r="I175" s="34"/>
      <c r="J175" s="34"/>
      <c r="K175" s="34"/>
      <c r="L175" s="36"/>
      <c r="M175" s="33"/>
      <c r="N175" s="34"/>
      <c r="O175" s="27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</row>
    <row r="176" spans="1:28" ht="12.75">
      <c r="A176" s="36"/>
      <c r="B176" s="36"/>
      <c r="C176" s="36"/>
      <c r="D176" s="36"/>
      <c r="E176" s="36"/>
      <c r="F176" s="36"/>
      <c r="G176" s="36"/>
      <c r="H176" s="36"/>
      <c r="I176" s="34"/>
      <c r="J176" s="34"/>
      <c r="K176" s="34"/>
      <c r="L176" s="36"/>
      <c r="M176" s="33"/>
      <c r="N176" s="34"/>
      <c r="O176" s="27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</row>
    <row r="177" spans="1:28" ht="12.75">
      <c r="A177" s="36"/>
      <c r="B177" s="36"/>
      <c r="C177" s="36"/>
      <c r="D177" s="36"/>
      <c r="E177" s="36"/>
      <c r="F177" s="36"/>
      <c r="G177" s="36"/>
      <c r="H177" s="36"/>
      <c r="I177" s="34"/>
      <c r="J177" s="34"/>
      <c r="K177" s="34"/>
      <c r="L177" s="36"/>
      <c r="M177" s="33"/>
      <c r="N177" s="34"/>
      <c r="O177" s="27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</row>
    <row r="178" spans="1:28" ht="12.75">
      <c r="A178" s="36"/>
      <c r="B178" s="36"/>
      <c r="C178" s="36"/>
      <c r="D178" s="36"/>
      <c r="E178" s="36"/>
      <c r="G178" s="36"/>
      <c r="H178" s="36"/>
      <c r="I178" s="34"/>
      <c r="J178" s="34"/>
      <c r="K178" s="34"/>
      <c r="L178" s="36"/>
      <c r="M178" s="33"/>
      <c r="N178" s="34"/>
      <c r="O178" s="27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</row>
    <row r="179" spans="1:28" ht="12.75">
      <c r="A179" s="36"/>
      <c r="B179" s="36"/>
      <c r="C179" s="36"/>
      <c r="D179" s="36"/>
      <c r="E179" s="36"/>
      <c r="G179" s="36"/>
      <c r="H179" s="36"/>
      <c r="I179" s="34"/>
      <c r="J179" s="34"/>
      <c r="K179" s="34"/>
      <c r="L179" s="36"/>
      <c r="M179" s="33"/>
      <c r="N179" s="34"/>
      <c r="O179" s="27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</row>
    <row r="180" spans="1:15" s="42" customFormat="1" ht="12.75">
      <c r="A180" s="36"/>
      <c r="B180" s="36"/>
      <c r="C180" s="36"/>
      <c r="D180" s="36"/>
      <c r="E180" s="36"/>
      <c r="F180" s="4"/>
      <c r="G180" s="36"/>
      <c r="H180" s="36"/>
      <c r="I180" s="34"/>
      <c r="J180" s="34"/>
      <c r="K180" s="34"/>
      <c r="L180" s="36"/>
      <c r="M180" s="33"/>
      <c r="N180" s="34"/>
      <c r="O180" s="27"/>
    </row>
    <row r="181" spans="1:15" s="42" customFormat="1" ht="12.75">
      <c r="A181" s="36"/>
      <c r="B181" s="36"/>
      <c r="C181" s="36"/>
      <c r="D181" s="36"/>
      <c r="E181" s="36"/>
      <c r="F181" s="4"/>
      <c r="G181" s="36"/>
      <c r="H181" s="36"/>
      <c r="I181" s="34"/>
      <c r="J181" s="34"/>
      <c r="K181" s="34"/>
      <c r="L181" s="36"/>
      <c r="M181" s="33"/>
      <c r="N181" s="34"/>
      <c r="O181" s="27"/>
    </row>
    <row r="182" spans="1:18" s="42" customFormat="1" ht="12.75">
      <c r="A182" s="36"/>
      <c r="B182" s="36"/>
      <c r="C182" s="36"/>
      <c r="D182" s="36"/>
      <c r="E182" s="36"/>
      <c r="F182" s="4"/>
      <c r="G182" s="36"/>
      <c r="H182" s="36"/>
      <c r="I182" s="34"/>
      <c r="J182" s="34"/>
      <c r="K182" s="34"/>
      <c r="L182" s="4"/>
      <c r="M182" s="33"/>
      <c r="N182" s="34"/>
      <c r="O182" s="27"/>
      <c r="P182" s="90"/>
      <c r="Q182" s="90"/>
      <c r="R182" s="90"/>
    </row>
    <row r="183" spans="1:18" s="42" customFormat="1" ht="12.75">
      <c r="A183" s="36"/>
      <c r="B183" s="36"/>
      <c r="C183" s="36"/>
      <c r="D183" s="4"/>
      <c r="E183" s="36"/>
      <c r="F183" s="4"/>
      <c r="G183" s="36"/>
      <c r="H183" s="36"/>
      <c r="I183" s="34"/>
      <c r="J183" s="34"/>
      <c r="K183" s="34"/>
      <c r="L183" s="4"/>
      <c r="M183" s="33"/>
      <c r="N183" s="34"/>
      <c r="O183" s="27"/>
      <c r="P183" s="34"/>
      <c r="Q183" s="34"/>
      <c r="R183" s="34"/>
    </row>
    <row r="184" spans="1:18" s="42" customFormat="1" ht="12.75">
      <c r="A184" s="36"/>
      <c r="B184" s="36"/>
      <c r="C184" s="36"/>
      <c r="D184" s="4"/>
      <c r="E184" s="36"/>
      <c r="F184" s="4"/>
      <c r="G184" s="36"/>
      <c r="H184" s="36"/>
      <c r="I184" s="34"/>
      <c r="J184" s="34"/>
      <c r="K184" s="34"/>
      <c r="L184" s="4"/>
      <c r="M184" s="33"/>
      <c r="N184" s="34"/>
      <c r="O184" s="27"/>
      <c r="P184" s="34"/>
      <c r="Q184" s="34"/>
      <c r="R184" s="34"/>
    </row>
    <row r="185" spans="1:18" s="42" customFormat="1" ht="12.75">
      <c r="A185" s="4"/>
      <c r="B185" s="4"/>
      <c r="C185" s="36"/>
      <c r="D185" s="4"/>
      <c r="E185" s="36"/>
      <c r="F185" s="4"/>
      <c r="G185" s="36"/>
      <c r="H185" s="36"/>
      <c r="I185" s="34"/>
      <c r="J185" s="34"/>
      <c r="K185" s="34"/>
      <c r="L185" s="4"/>
      <c r="M185" s="33"/>
      <c r="N185" s="34"/>
      <c r="O185" s="27"/>
      <c r="P185" s="34"/>
      <c r="Q185" s="34"/>
      <c r="R185" s="34"/>
    </row>
    <row r="186" spans="1:18" s="42" customFormat="1" ht="12.75">
      <c r="A186" s="4"/>
      <c r="B186" s="4"/>
      <c r="C186" s="36"/>
      <c r="D186" s="4"/>
      <c r="E186" s="36"/>
      <c r="F186" s="4"/>
      <c r="G186" s="36"/>
      <c r="H186" s="36"/>
      <c r="I186" s="34"/>
      <c r="J186" s="34"/>
      <c r="K186" s="34"/>
      <c r="L186" s="4"/>
      <c r="M186" s="33"/>
      <c r="N186" s="5"/>
      <c r="O186" s="27"/>
      <c r="P186" s="34"/>
      <c r="Q186" s="34"/>
      <c r="R186" s="34"/>
    </row>
    <row r="187" spans="1:18" s="42" customFormat="1" ht="12.75">
      <c r="A187" s="4"/>
      <c r="B187" s="4"/>
      <c r="C187" s="36"/>
      <c r="D187" s="4"/>
      <c r="E187" s="36"/>
      <c r="F187" s="4"/>
      <c r="G187" s="36"/>
      <c r="H187" s="36"/>
      <c r="I187" s="34"/>
      <c r="J187" s="34"/>
      <c r="K187" s="34"/>
      <c r="L187" s="4"/>
      <c r="M187" s="33"/>
      <c r="N187" s="5"/>
      <c r="O187" s="27"/>
      <c r="P187" s="34"/>
      <c r="Q187" s="34"/>
      <c r="R187" s="34"/>
    </row>
    <row r="188" spans="1:18" s="42" customFormat="1" ht="12.75">
      <c r="A188" s="4"/>
      <c r="B188" s="4"/>
      <c r="C188" s="36"/>
      <c r="D188" s="4"/>
      <c r="E188" s="36"/>
      <c r="F188" s="4"/>
      <c r="G188" s="36"/>
      <c r="H188" s="36"/>
      <c r="I188" s="34"/>
      <c r="J188" s="34"/>
      <c r="K188" s="34"/>
      <c r="L188" s="4"/>
      <c r="M188" s="65"/>
      <c r="N188" s="5"/>
      <c r="O188" s="27"/>
      <c r="P188" s="34"/>
      <c r="Q188" s="34"/>
      <c r="R188" s="34"/>
    </row>
    <row r="189" spans="1:18" s="42" customFormat="1" ht="12.75">
      <c r="A189" s="4"/>
      <c r="B189" s="4"/>
      <c r="C189" s="36"/>
      <c r="D189" s="4"/>
      <c r="E189" s="36"/>
      <c r="F189" s="4"/>
      <c r="G189" s="36"/>
      <c r="H189" s="36"/>
      <c r="I189" s="34"/>
      <c r="J189" s="34"/>
      <c r="K189" s="34"/>
      <c r="L189" s="4"/>
      <c r="M189" s="65"/>
      <c r="N189" s="5"/>
      <c r="O189" s="27"/>
      <c r="P189" s="34"/>
      <c r="Q189" s="34"/>
      <c r="R189" s="34"/>
    </row>
    <row r="190" spans="1:18" s="42" customFormat="1" ht="12.75">
      <c r="A190" s="4"/>
      <c r="B190" s="4"/>
      <c r="C190" s="36"/>
      <c r="D190" s="4"/>
      <c r="E190" s="36"/>
      <c r="F190" s="4"/>
      <c r="G190" s="36"/>
      <c r="H190" s="36"/>
      <c r="I190" s="34"/>
      <c r="J190" s="34"/>
      <c r="K190" s="34"/>
      <c r="L190" s="4"/>
      <c r="M190" s="65"/>
      <c r="N190" s="5"/>
      <c r="O190" s="27"/>
      <c r="P190" s="34"/>
      <c r="Q190" s="34"/>
      <c r="R190" s="34"/>
    </row>
    <row r="191" spans="1:18" s="42" customFormat="1" ht="12.75">
      <c r="A191" s="4"/>
      <c r="B191" s="4"/>
      <c r="C191" s="36"/>
      <c r="D191" s="4"/>
      <c r="E191" s="36"/>
      <c r="F191" s="4"/>
      <c r="G191" s="36"/>
      <c r="H191" s="36"/>
      <c r="I191" s="34"/>
      <c r="J191" s="34"/>
      <c r="K191" s="34"/>
      <c r="L191" s="4"/>
      <c r="M191" s="65"/>
      <c r="N191" s="5"/>
      <c r="O191" s="27"/>
      <c r="P191" s="34"/>
      <c r="Q191" s="34"/>
      <c r="R191" s="34"/>
    </row>
    <row r="192" spans="1:62" s="3" customFormat="1" ht="12.75">
      <c r="A192" s="4"/>
      <c r="B192" s="4"/>
      <c r="C192" s="4"/>
      <c r="D192" s="4"/>
      <c r="E192" s="4"/>
      <c r="F192" s="4"/>
      <c r="G192" s="4"/>
      <c r="H192" s="4"/>
      <c r="I192" s="5"/>
      <c r="J192" s="5"/>
      <c r="K192" s="5"/>
      <c r="L192" s="4"/>
      <c r="M192" s="65"/>
      <c r="N192" s="5"/>
      <c r="O192" s="6"/>
      <c r="P192" s="4"/>
      <c r="Q192" s="4"/>
      <c r="R192" s="4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</row>
    <row r="193" spans="1:62" s="3" customFormat="1" ht="12.75">
      <c r="A193" s="4"/>
      <c r="B193" s="4"/>
      <c r="C193" s="4"/>
      <c r="D193" s="4"/>
      <c r="E193" s="4"/>
      <c r="F193" s="4"/>
      <c r="G193" s="4"/>
      <c r="H193" s="4"/>
      <c r="I193" s="5"/>
      <c r="J193" s="5"/>
      <c r="K193" s="5"/>
      <c r="L193" s="4"/>
      <c r="M193" s="65"/>
      <c r="N193" s="5"/>
      <c r="O193" s="6"/>
      <c r="P193" s="4"/>
      <c r="Q193" s="4"/>
      <c r="R193" s="4"/>
      <c r="S193" s="41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</row>
    <row r="194" spans="1:62" s="3" customFormat="1" ht="12.75">
      <c r="A194" s="4"/>
      <c r="B194" s="4"/>
      <c r="C194" s="4"/>
      <c r="D194" s="4"/>
      <c r="E194" s="4"/>
      <c r="F194" s="4"/>
      <c r="G194" s="4"/>
      <c r="H194" s="4"/>
      <c r="I194" s="5"/>
      <c r="J194" s="5"/>
      <c r="K194" s="5"/>
      <c r="L194" s="4"/>
      <c r="M194" s="65"/>
      <c r="N194" s="5"/>
      <c r="O194" s="6"/>
      <c r="P194" s="4"/>
      <c r="Q194" s="4"/>
      <c r="R194" s="4"/>
      <c r="S194" s="41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</row>
    <row r="195" spans="1:62" s="3" customFormat="1" ht="12.75">
      <c r="A195" s="4"/>
      <c r="B195" s="4"/>
      <c r="C195" s="4"/>
      <c r="D195" s="4"/>
      <c r="E195" s="4"/>
      <c r="F195" s="4"/>
      <c r="G195" s="4"/>
      <c r="H195" s="4"/>
      <c r="I195" s="5"/>
      <c r="J195" s="5"/>
      <c r="K195" s="5"/>
      <c r="L195" s="4"/>
      <c r="M195" s="65"/>
      <c r="N195" s="5"/>
      <c r="O195" s="6"/>
      <c r="P195" s="4"/>
      <c r="Q195" s="4"/>
      <c r="R195" s="4"/>
      <c r="S195" s="41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</row>
    <row r="196" spans="1:62" s="3" customFormat="1" ht="12.75">
      <c r="A196" s="4"/>
      <c r="B196" s="4"/>
      <c r="C196" s="4"/>
      <c r="D196" s="4"/>
      <c r="E196" s="4"/>
      <c r="F196" s="4"/>
      <c r="G196" s="4"/>
      <c r="H196" s="4"/>
      <c r="I196" s="5"/>
      <c r="J196" s="5"/>
      <c r="K196" s="5"/>
      <c r="L196" s="4"/>
      <c r="M196" s="65"/>
      <c r="N196" s="5"/>
      <c r="O196" s="5"/>
      <c r="P196" s="5"/>
      <c r="Q196" s="5"/>
      <c r="R196" s="26"/>
      <c r="S196" s="4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</row>
    <row r="197" spans="1:62" s="3" customFormat="1" ht="12.75">
      <c r="A197" s="4"/>
      <c r="B197" s="4"/>
      <c r="C197" s="4"/>
      <c r="D197" s="4"/>
      <c r="E197" s="4"/>
      <c r="F197" s="4"/>
      <c r="G197" s="4"/>
      <c r="H197" s="4"/>
      <c r="I197" s="5"/>
      <c r="J197" s="5"/>
      <c r="K197" s="5"/>
      <c r="L197" s="4"/>
      <c r="M197" s="65"/>
      <c r="N197" s="5"/>
      <c r="O197" s="5"/>
      <c r="P197" s="5"/>
      <c r="Q197" s="5"/>
      <c r="R197" s="26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</row>
    <row r="198" spans="1:62" s="3" customFormat="1" ht="12.75">
      <c r="A198" s="4"/>
      <c r="B198" s="4"/>
      <c r="C198" s="4"/>
      <c r="D198" s="4"/>
      <c r="E198" s="4"/>
      <c r="F198" s="4"/>
      <c r="G198" s="4"/>
      <c r="H198" s="4"/>
      <c r="I198" s="5"/>
      <c r="J198" s="5"/>
      <c r="K198" s="5"/>
      <c r="L198" s="4"/>
      <c r="M198" s="65"/>
      <c r="N198" s="5"/>
      <c r="O198" s="5"/>
      <c r="P198" s="5"/>
      <c r="Q198" s="5"/>
      <c r="R198" s="26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</row>
    <row r="199" spans="1:62" s="3" customFormat="1" ht="12.75">
      <c r="A199" s="4"/>
      <c r="B199" s="4"/>
      <c r="C199" s="4"/>
      <c r="D199" s="4"/>
      <c r="E199" s="4"/>
      <c r="F199" s="4"/>
      <c r="G199" s="4"/>
      <c r="H199" s="4"/>
      <c r="I199" s="5"/>
      <c r="J199" s="5"/>
      <c r="K199" s="5"/>
      <c r="L199" s="4"/>
      <c r="M199" s="65"/>
      <c r="N199" s="5"/>
      <c r="O199" s="5"/>
      <c r="P199" s="5"/>
      <c r="Q199" s="5"/>
      <c r="R199" s="26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</row>
    <row r="200" spans="1:62" s="3" customFormat="1" ht="12.75">
      <c r="A200" s="4"/>
      <c r="B200" s="4"/>
      <c r="C200" s="4"/>
      <c r="D200" s="4"/>
      <c r="E200" s="4"/>
      <c r="F200" s="4"/>
      <c r="G200" s="4"/>
      <c r="H200" s="4"/>
      <c r="I200" s="5"/>
      <c r="J200" s="5"/>
      <c r="K200" s="5"/>
      <c r="L200" s="4"/>
      <c r="M200" s="65"/>
      <c r="N200" s="5"/>
      <c r="O200" s="5"/>
      <c r="P200" s="5"/>
      <c r="Q200" s="5"/>
      <c r="R200" s="26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</row>
    <row r="201" spans="29:33" ht="12.75">
      <c r="AC201" s="42"/>
      <c r="AD201" s="42"/>
      <c r="AE201" s="42"/>
      <c r="AF201" s="42"/>
      <c r="AG201" s="42"/>
    </row>
  </sheetData>
  <sheetProtection sheet="1" objects="1" scenarios="1"/>
  <mergeCells count="27">
    <mergeCell ref="F31:G31"/>
    <mergeCell ref="F29:G29"/>
    <mergeCell ref="F33:G33"/>
    <mergeCell ref="D15:E15"/>
    <mergeCell ref="F25:G25"/>
    <mergeCell ref="F24:G24"/>
    <mergeCell ref="F27:G27"/>
    <mergeCell ref="F30:G30"/>
    <mergeCell ref="F35:G35"/>
    <mergeCell ref="F37:G37"/>
    <mergeCell ref="F42:G42"/>
    <mergeCell ref="A1:F1"/>
    <mergeCell ref="F17:G17"/>
    <mergeCell ref="E3:F3"/>
    <mergeCell ref="F19:G19"/>
    <mergeCell ref="F21:G21"/>
    <mergeCell ref="F22:G22"/>
    <mergeCell ref="F23:G23"/>
    <mergeCell ref="N44:O44"/>
    <mergeCell ref="A48:D48"/>
    <mergeCell ref="A49:D49"/>
    <mergeCell ref="F39:G39"/>
    <mergeCell ref="F41:G41"/>
    <mergeCell ref="F43:G43"/>
    <mergeCell ref="F44:L44"/>
    <mergeCell ref="I46:L46"/>
    <mergeCell ref="A44:B44"/>
  </mergeCells>
  <dataValidations count="3">
    <dataValidation type="list" allowBlank="1" showInputMessage="1" showErrorMessage="1" sqref="P69:P71 P66:P67 P19:Q43">
      <formula1>#REF!</formula1>
    </dataValidation>
    <dataValidation type="list" allowBlank="1" showInputMessage="1" showErrorMessage="1" sqref="O39 O29:O31 O37 O35 O33 O27 O21:O25 O19">
      <formula1>$A$51:$A$64</formula1>
    </dataValidation>
    <dataValidation type="list" allowBlank="1" showInputMessage="1" showErrorMessage="1" sqref="O40 O32 O34 O36 O38 O28">
      <formula1>$F$67:$F$81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paperSize="3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J196"/>
  <sheetViews>
    <sheetView view="pageBreakPreview" zoomScale="75" zoomScaleNormal="8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46.421875" style="4" customWidth="1"/>
    <col min="2" max="2" width="19.28125" style="4" bestFit="1" customWidth="1"/>
    <col min="3" max="3" width="15.7109375" style="4" customWidth="1"/>
    <col min="4" max="4" width="15.8515625" style="4" customWidth="1"/>
    <col min="5" max="5" width="15.7109375" style="4" customWidth="1"/>
    <col min="6" max="6" width="15.57421875" style="4" customWidth="1"/>
    <col min="7" max="8" width="17.7109375" style="4" customWidth="1"/>
    <col min="9" max="9" width="16.57421875" style="5" customWidth="1"/>
    <col min="10" max="11" width="16.421875" style="5" customWidth="1"/>
    <col min="12" max="12" width="14.7109375" style="4" customWidth="1"/>
    <col min="13" max="13" width="14.7109375" style="65" customWidth="1"/>
    <col min="14" max="14" width="14.7109375" style="5" customWidth="1"/>
    <col min="15" max="15" width="38.57421875" style="5" customWidth="1"/>
    <col min="16" max="16" width="15.57421875" style="5" customWidth="1"/>
    <col min="17" max="17" width="13.28125" style="5" customWidth="1"/>
    <col min="18" max="18" width="14.7109375" style="26" customWidth="1"/>
    <col min="19" max="19" width="21.28125" style="4" hidden="1" customWidth="1"/>
    <col min="20" max="28" width="9.140625" style="4" hidden="1" customWidth="1"/>
    <col min="29" max="33" width="9.140625" style="36" hidden="1" customWidth="1"/>
    <col min="34" max="61" width="9.140625" style="36" customWidth="1"/>
    <col min="62" max="16384" width="9.140625" style="4" customWidth="1"/>
  </cols>
  <sheetData>
    <row r="1" spans="1:6" ht="18.75" customHeight="1">
      <c r="A1" s="238" t="s">
        <v>51</v>
      </c>
      <c r="B1" s="238"/>
      <c r="C1" s="239"/>
      <c r="D1" s="239"/>
      <c r="E1" s="239"/>
      <c r="F1" s="239"/>
    </row>
    <row r="2" spans="1:6" ht="18">
      <c r="A2" s="102"/>
      <c r="B2" s="102"/>
      <c r="C2" s="73"/>
      <c r="D2" s="73"/>
      <c r="E2" s="73"/>
      <c r="F2" s="73"/>
    </row>
    <row r="3" spans="1:6" ht="18">
      <c r="A3" s="7" t="s">
        <v>113</v>
      </c>
      <c r="B3" s="7"/>
      <c r="E3" s="254"/>
      <c r="F3" s="254"/>
    </row>
    <row r="4" spans="1:6" ht="18">
      <c r="A4" s="14"/>
      <c r="B4" s="14"/>
      <c r="E4" s="3"/>
      <c r="F4" s="3"/>
    </row>
    <row r="5" spans="1:6" ht="12.75">
      <c r="A5" s="9"/>
      <c r="B5" s="9"/>
      <c r="F5" s="9"/>
    </row>
    <row r="6" spans="1:8" ht="12.75">
      <c r="A6" s="15" t="s">
        <v>144</v>
      </c>
      <c r="B6" s="15"/>
      <c r="C6" s="16"/>
      <c r="D6" s="9"/>
      <c r="E6" s="16"/>
      <c r="F6" s="16"/>
      <c r="G6" s="16"/>
      <c r="H6" s="16"/>
    </row>
    <row r="7" spans="1:61" ht="12.75">
      <c r="A7" s="22" t="s">
        <v>26</v>
      </c>
      <c r="B7" s="23" t="s">
        <v>22</v>
      </c>
      <c r="C7" s="23" t="s">
        <v>23</v>
      </c>
      <c r="D7" s="23" t="s">
        <v>24</v>
      </c>
      <c r="E7" s="23" t="s">
        <v>25</v>
      </c>
      <c r="F7" s="106" t="s">
        <v>7</v>
      </c>
      <c r="G7" s="77"/>
      <c r="H7" s="5"/>
      <c r="K7" s="4"/>
      <c r="L7" s="65"/>
      <c r="M7" s="5"/>
      <c r="Q7" s="26"/>
      <c r="R7" s="4"/>
      <c r="AB7" s="36"/>
      <c r="BI7" s="4"/>
    </row>
    <row r="8" spans="1:61" ht="12.75">
      <c r="A8" s="164" t="s">
        <v>95</v>
      </c>
      <c r="B8" s="201">
        <f>'Site Data'!B38</f>
        <v>0</v>
      </c>
      <c r="C8" s="201">
        <f>'Site Data'!C38</f>
        <v>0</v>
      </c>
      <c r="D8" s="201">
        <f>'Site Data'!D38</f>
        <v>0</v>
      </c>
      <c r="E8" s="201">
        <f>'Site Data'!E38</f>
        <v>0</v>
      </c>
      <c r="F8" s="18">
        <f>SUM(B8:E8)</f>
        <v>0</v>
      </c>
      <c r="G8" s="77"/>
      <c r="H8" s="5"/>
      <c r="K8" s="4"/>
      <c r="L8" s="65"/>
      <c r="M8" s="5"/>
      <c r="Q8" s="26"/>
      <c r="R8" s="4"/>
      <c r="AB8" s="36"/>
      <c r="BI8" s="4"/>
    </row>
    <row r="9" spans="1:61" ht="12.75">
      <c r="A9" s="69" t="s">
        <v>36</v>
      </c>
      <c r="B9" s="201">
        <f>'Site Data'!B39</f>
        <v>0</v>
      </c>
      <c r="C9" s="201">
        <f>'Site Data'!C39</f>
        <v>0</v>
      </c>
      <c r="D9" s="201">
        <f>'Site Data'!D39</f>
        <v>0</v>
      </c>
      <c r="E9" s="201">
        <f>'Site Data'!E39</f>
        <v>0</v>
      </c>
      <c r="F9" s="18">
        <f>SUM(B9:E9)</f>
        <v>0</v>
      </c>
      <c r="G9" s="62"/>
      <c r="H9" s="5"/>
      <c r="K9" s="4"/>
      <c r="L9" s="65"/>
      <c r="M9" s="5"/>
      <c r="Q9" s="26"/>
      <c r="R9" s="4"/>
      <c r="AB9" s="36"/>
      <c r="BI9" s="4"/>
    </row>
    <row r="10" spans="1:61" ht="12.75">
      <c r="A10" s="69" t="s">
        <v>14</v>
      </c>
      <c r="B10" s="201">
        <f>'Site Data'!B40</f>
        <v>0</v>
      </c>
      <c r="C10" s="201">
        <f>'Site Data'!C40</f>
        <v>0</v>
      </c>
      <c r="D10" s="201">
        <f>'Site Data'!D40</f>
        <v>0</v>
      </c>
      <c r="E10" s="201">
        <f>'Site Data'!E40</f>
        <v>0</v>
      </c>
      <c r="F10" s="18">
        <f>SUM(B10:E10)</f>
        <v>0</v>
      </c>
      <c r="G10" s="62"/>
      <c r="H10" s="5"/>
      <c r="K10" s="4"/>
      <c r="L10" s="65"/>
      <c r="M10" s="5"/>
      <c r="P10" s="67"/>
      <c r="Q10" s="26"/>
      <c r="R10" s="4"/>
      <c r="AB10" s="36"/>
      <c r="BI10" s="4"/>
    </row>
    <row r="11" spans="1:61" ht="12.75">
      <c r="A11" s="15"/>
      <c r="B11" s="16"/>
      <c r="C11" s="19"/>
      <c r="D11" s="16"/>
      <c r="E11" s="107" t="s">
        <v>8</v>
      </c>
      <c r="F11" s="18">
        <f>SUM(F8:F10)</f>
        <v>0</v>
      </c>
      <c r="G11" s="62"/>
      <c r="H11" s="5"/>
      <c r="K11" s="4"/>
      <c r="L11" s="65"/>
      <c r="M11" s="5"/>
      <c r="Q11" s="26"/>
      <c r="R11" s="4"/>
      <c r="AB11" s="36"/>
      <c r="BI11" s="4"/>
    </row>
    <row r="12" spans="1:61" ht="12.75">
      <c r="A12" s="15"/>
      <c r="B12" s="16"/>
      <c r="C12" s="19"/>
      <c r="D12" s="16"/>
      <c r="E12" s="107"/>
      <c r="F12" s="62"/>
      <c r="G12" s="62"/>
      <c r="H12" s="5"/>
      <c r="K12" s="4"/>
      <c r="L12" s="65"/>
      <c r="M12" s="5"/>
      <c r="Q12" s="26"/>
      <c r="R12" s="4"/>
      <c r="AB12" s="36"/>
      <c r="BI12" s="4"/>
    </row>
    <row r="13" spans="1:61" ht="12.75">
      <c r="A13" s="118" t="s">
        <v>98</v>
      </c>
      <c r="B13" s="119">
        <f>IF(F9&gt;0,SUMPRODUCT(B9:E9,'Site Data'!B54:E54)/F9,0)</f>
        <v>0</v>
      </c>
      <c r="C13" s="19"/>
      <c r="D13" s="16"/>
      <c r="E13" s="107"/>
      <c r="F13" s="62"/>
      <c r="G13" s="62"/>
      <c r="H13" s="5"/>
      <c r="K13" s="4"/>
      <c r="L13" s="65"/>
      <c r="M13" s="5"/>
      <c r="Q13" s="26"/>
      <c r="R13" s="4"/>
      <c r="AB13" s="36"/>
      <c r="BI13" s="4"/>
    </row>
    <row r="14" spans="1:61" ht="12.75">
      <c r="A14" s="118" t="s">
        <v>42</v>
      </c>
      <c r="B14" s="121">
        <v>0.95</v>
      </c>
      <c r="C14" s="19"/>
      <c r="D14" s="16"/>
      <c r="E14" s="108"/>
      <c r="F14" s="62"/>
      <c r="G14" s="62"/>
      <c r="H14" s="5"/>
      <c r="K14" s="4"/>
      <c r="L14" s="65"/>
      <c r="M14" s="5"/>
      <c r="Q14" s="26"/>
      <c r="R14" s="4"/>
      <c r="AB14" s="36"/>
      <c r="BI14" s="4"/>
    </row>
    <row r="15" spans="1:60" s="16" customFormat="1" ht="18">
      <c r="A15" s="98"/>
      <c r="D15" s="255" t="s">
        <v>147</v>
      </c>
      <c r="E15" s="255"/>
      <c r="F15" s="78">
        <f>1/12*(B13*F9+B14*F10)*43560</f>
        <v>0</v>
      </c>
      <c r="G15" s="20"/>
      <c r="H15" s="72"/>
      <c r="I15" s="72"/>
      <c r="J15" s="72"/>
      <c r="L15" s="72"/>
      <c r="M15" s="73"/>
      <c r="N15" s="71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</row>
    <row r="16" spans="1:61" s="16" customFormat="1" ht="18">
      <c r="A16" s="14" t="s">
        <v>56</v>
      </c>
      <c r="B16" s="14"/>
      <c r="I16" s="72"/>
      <c r="J16" s="72"/>
      <c r="K16" s="72"/>
      <c r="M16" s="74"/>
      <c r="N16" s="72"/>
      <c r="O16" s="72"/>
      <c r="P16" s="72"/>
      <c r="Q16" s="72"/>
      <c r="R16" s="73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</row>
    <row r="17" spans="1:61" s="16" customFormat="1" ht="63.75" customHeight="1">
      <c r="A17" s="106" t="s">
        <v>57</v>
      </c>
      <c r="B17" s="106" t="s">
        <v>151</v>
      </c>
      <c r="C17" s="104" t="s">
        <v>28</v>
      </c>
      <c r="D17" s="104" t="s">
        <v>74</v>
      </c>
      <c r="E17" s="104" t="s">
        <v>68</v>
      </c>
      <c r="F17" s="252" t="s">
        <v>9</v>
      </c>
      <c r="G17" s="253"/>
      <c r="H17" s="160" t="s">
        <v>94</v>
      </c>
      <c r="I17" s="151" t="s">
        <v>69</v>
      </c>
      <c r="J17" s="66" t="s">
        <v>70</v>
      </c>
      <c r="K17" s="66" t="s">
        <v>92</v>
      </c>
      <c r="L17" s="105" t="s">
        <v>29</v>
      </c>
      <c r="M17" s="105" t="s">
        <v>71</v>
      </c>
      <c r="N17" s="142" t="s">
        <v>72</v>
      </c>
      <c r="O17" s="105" t="s">
        <v>73</v>
      </c>
      <c r="P17" s="32"/>
      <c r="Q17" s="32"/>
      <c r="R17" s="4"/>
      <c r="S17" s="146" t="s">
        <v>76</v>
      </c>
      <c r="T17" s="146" t="s">
        <v>77</v>
      </c>
      <c r="U17" s="146" t="s">
        <v>78</v>
      </c>
      <c r="V17" s="146" t="s">
        <v>79</v>
      </c>
      <c r="W17" s="202" t="s">
        <v>119</v>
      </c>
      <c r="X17" s="146" t="s">
        <v>80</v>
      </c>
      <c r="Y17" s="146" t="s">
        <v>81</v>
      </c>
      <c r="Z17" s="146" t="s">
        <v>82</v>
      </c>
      <c r="AA17" s="146" t="s">
        <v>141</v>
      </c>
      <c r="AB17" s="146" t="s">
        <v>142</v>
      </c>
      <c r="AC17" s="146" t="s">
        <v>83</v>
      </c>
      <c r="AD17" s="146" t="s">
        <v>84</v>
      </c>
      <c r="AE17" s="149" t="s">
        <v>85</v>
      </c>
      <c r="AF17" s="149" t="s">
        <v>86</v>
      </c>
      <c r="AG17" s="148" t="s">
        <v>87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</row>
    <row r="18" spans="1:61" s="16" customFormat="1" ht="12.75">
      <c r="A18" s="130" t="s">
        <v>58</v>
      </c>
      <c r="B18" s="228"/>
      <c r="C18" s="131"/>
      <c r="D18" s="131"/>
      <c r="E18" s="131"/>
      <c r="F18" s="131"/>
      <c r="G18" s="131"/>
      <c r="H18" s="131"/>
      <c r="I18" s="132"/>
      <c r="J18" s="132"/>
      <c r="K18" s="155"/>
      <c r="L18" s="133"/>
      <c r="M18" s="133"/>
      <c r="N18" s="143"/>
      <c r="O18" s="134"/>
      <c r="P18" s="32"/>
      <c r="Q18" s="32"/>
      <c r="R18" s="4"/>
      <c r="S18" s="88"/>
      <c r="T18" s="88"/>
      <c r="U18" s="88"/>
      <c r="V18" s="88"/>
      <c r="W18" s="88"/>
      <c r="X18" s="89"/>
      <c r="Y18" s="87"/>
      <c r="Z18" s="87"/>
      <c r="AA18" s="87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</row>
    <row r="19" spans="1:61" s="16" customFormat="1" ht="25.5" customHeight="1">
      <c r="A19" s="96" t="s">
        <v>59</v>
      </c>
      <c r="B19" s="231"/>
      <c r="C19" s="1"/>
      <c r="D19" s="18" t="s">
        <v>30</v>
      </c>
      <c r="E19" s="78">
        <f>1/12*0.95*C19*43560</f>
        <v>0</v>
      </c>
      <c r="F19" s="247" t="s">
        <v>75</v>
      </c>
      <c r="G19" s="248"/>
      <c r="H19" s="221">
        <v>1</v>
      </c>
      <c r="I19" s="76" t="s">
        <v>30</v>
      </c>
      <c r="J19" s="37">
        <f>E19</f>
        <v>0</v>
      </c>
      <c r="K19" s="156" t="s">
        <v>30</v>
      </c>
      <c r="L19" s="111"/>
      <c r="M19" s="79">
        <f>IF(L19*H19&lt;=J19,L19*H19,J19)</f>
        <v>0</v>
      </c>
      <c r="N19" s="154">
        <f aca="true" t="shared" si="0" ref="N19:N43">J19-M19</f>
        <v>0</v>
      </c>
      <c r="O19" s="80"/>
      <c r="P19" s="27"/>
      <c r="Q19" s="27"/>
      <c r="R19" s="4"/>
      <c r="S19" s="4">
        <f>IF($O19=S$17,$N19,0)</f>
        <v>0</v>
      </c>
      <c r="T19" s="4">
        <f aca="true" t="shared" si="1" ref="T19:AF33">IF($O19=T$17,$N19,0)</f>
        <v>0</v>
      </c>
      <c r="U19" s="4">
        <f t="shared" si="1"/>
        <v>0</v>
      </c>
      <c r="V19" s="4">
        <f t="shared" si="1"/>
        <v>0</v>
      </c>
      <c r="W19" s="4">
        <f t="shared" si="1"/>
        <v>0</v>
      </c>
      <c r="X19" s="4">
        <f t="shared" si="1"/>
        <v>0</v>
      </c>
      <c r="Y19" s="4">
        <f t="shared" si="1"/>
        <v>0</v>
      </c>
      <c r="Z19" s="4">
        <f t="shared" si="1"/>
        <v>0</v>
      </c>
      <c r="AA19" s="4">
        <f t="shared" si="1"/>
        <v>0</v>
      </c>
      <c r="AB19" s="4">
        <f t="shared" si="1"/>
        <v>0</v>
      </c>
      <c r="AC19" s="4">
        <f t="shared" si="1"/>
        <v>0</v>
      </c>
      <c r="AD19" s="4">
        <f t="shared" si="1"/>
        <v>0</v>
      </c>
      <c r="AE19" s="4">
        <f t="shared" si="1"/>
        <v>0</v>
      </c>
      <c r="AF19" s="4">
        <f t="shared" si="1"/>
        <v>0</v>
      </c>
      <c r="AG19" s="4">
        <f>IF($O19=AG$17,$N19,0)</f>
        <v>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</row>
    <row r="20" spans="1:61" s="16" customFormat="1" ht="12.75">
      <c r="A20" s="130" t="s">
        <v>60</v>
      </c>
      <c r="B20" s="228"/>
      <c r="C20" s="131"/>
      <c r="D20" s="131"/>
      <c r="E20" s="131"/>
      <c r="F20" s="131"/>
      <c r="G20" s="131"/>
      <c r="H20" s="162"/>
      <c r="I20" s="132"/>
      <c r="J20" s="132"/>
      <c r="K20" s="155"/>
      <c r="L20" s="133"/>
      <c r="M20" s="133"/>
      <c r="N20" s="143"/>
      <c r="O20" s="134"/>
      <c r="P20" s="27"/>
      <c r="Q20" s="27"/>
      <c r="R20" s="4"/>
      <c r="S20" s="4"/>
      <c r="T20" s="4"/>
      <c r="U20" s="4"/>
      <c r="V20" s="4"/>
      <c r="W20" s="4"/>
      <c r="X20" s="4"/>
      <c r="Y20" s="4"/>
      <c r="Z20" s="4"/>
      <c r="AA20" s="4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</row>
    <row r="21" spans="1:33" ht="38.25" customHeight="1">
      <c r="A21" s="146" t="s">
        <v>76</v>
      </c>
      <c r="B21" s="232"/>
      <c r="C21" s="1"/>
      <c r="D21" s="103" t="s">
        <v>30</v>
      </c>
      <c r="E21" s="78">
        <f aca="true" t="shared" si="2" ref="E21:E27">1/12*0.95*C21*43560</f>
        <v>0</v>
      </c>
      <c r="F21" s="247" t="s">
        <v>99</v>
      </c>
      <c r="G21" s="248"/>
      <c r="H21" s="221" t="s">
        <v>30</v>
      </c>
      <c r="I21" s="37">
        <f>S45</f>
        <v>0</v>
      </c>
      <c r="J21" s="37">
        <f>E21+I21</f>
        <v>0</v>
      </c>
      <c r="K21" s="215"/>
      <c r="L21" s="76" t="s">
        <v>30</v>
      </c>
      <c r="M21" s="79">
        <f>IF(K21*0.04&lt;=J21,K21*0.04,J21)</f>
        <v>0</v>
      </c>
      <c r="N21" s="154">
        <f t="shared" si="0"/>
        <v>0</v>
      </c>
      <c r="O21" s="80"/>
      <c r="P21" s="27"/>
      <c r="Q21" s="27"/>
      <c r="R21" s="4"/>
      <c r="S21" s="4">
        <f>IF($O21=S$17,$N21,0)</f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 t="shared" si="1"/>
        <v>0</v>
      </c>
      <c r="AB21" s="4">
        <f t="shared" si="1"/>
        <v>0</v>
      </c>
      <c r="AC21" s="4">
        <f t="shared" si="1"/>
        <v>0</v>
      </c>
      <c r="AD21" s="4">
        <f t="shared" si="1"/>
        <v>0</v>
      </c>
      <c r="AE21" s="4">
        <f t="shared" si="1"/>
        <v>0</v>
      </c>
      <c r="AF21" s="4">
        <f t="shared" si="1"/>
        <v>0</v>
      </c>
      <c r="AG21" s="4">
        <f>IF($O21=AG$17,$N21,0)</f>
        <v>0</v>
      </c>
    </row>
    <row r="22" spans="1:33" ht="38.25" customHeight="1">
      <c r="A22" s="146" t="s">
        <v>77</v>
      </c>
      <c r="B22" s="232"/>
      <c r="C22" s="1"/>
      <c r="D22" s="103" t="s">
        <v>30</v>
      </c>
      <c r="E22" s="78">
        <f t="shared" si="2"/>
        <v>0</v>
      </c>
      <c r="F22" s="247" t="s">
        <v>100</v>
      </c>
      <c r="G22" s="248"/>
      <c r="H22" s="221" t="s">
        <v>30</v>
      </c>
      <c r="I22" s="37">
        <f>T45</f>
        <v>0</v>
      </c>
      <c r="J22" s="37">
        <f>E22+I22</f>
        <v>0</v>
      </c>
      <c r="K22" s="215"/>
      <c r="L22" s="76" t="s">
        <v>30</v>
      </c>
      <c r="M22" s="79">
        <f>IF(K22*0.02&lt;=J22,K22*0.02,J22)</f>
        <v>0</v>
      </c>
      <c r="N22" s="154">
        <f t="shared" si="0"/>
        <v>0</v>
      </c>
      <c r="O22" s="80"/>
      <c r="P22" s="27"/>
      <c r="Q22" s="27"/>
      <c r="R22" s="4"/>
      <c r="S22" s="4">
        <f>IF($O22=S$17,$N22,0)</f>
        <v>0</v>
      </c>
      <c r="T22" s="4">
        <f t="shared" si="1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si="1"/>
        <v>0</v>
      </c>
      <c r="AB22" s="4">
        <f t="shared" si="1"/>
        <v>0</v>
      </c>
      <c r="AC22" s="4">
        <f t="shared" si="1"/>
        <v>0</v>
      </c>
      <c r="AD22" s="4">
        <f t="shared" si="1"/>
        <v>0</v>
      </c>
      <c r="AE22" s="4">
        <f t="shared" si="1"/>
        <v>0</v>
      </c>
      <c r="AF22" s="4">
        <f t="shared" si="1"/>
        <v>0</v>
      </c>
      <c r="AG22" s="4">
        <f>IF($O22=AG$17,$N22,0)</f>
        <v>0</v>
      </c>
    </row>
    <row r="23" spans="1:33" ht="25.5" customHeight="1">
      <c r="A23" s="146" t="s">
        <v>110</v>
      </c>
      <c r="B23" s="232"/>
      <c r="C23" s="1"/>
      <c r="D23" s="225"/>
      <c r="E23" s="78">
        <f>1/12*(0.95*C23+$B$13*D23)*43560</f>
        <v>0</v>
      </c>
      <c r="F23" s="247" t="s">
        <v>75</v>
      </c>
      <c r="G23" s="248"/>
      <c r="H23" s="221">
        <v>1</v>
      </c>
      <c r="I23" s="37">
        <f>U45</f>
        <v>0</v>
      </c>
      <c r="J23" s="37">
        <f>E23+I23</f>
        <v>0</v>
      </c>
      <c r="K23" s="156" t="s">
        <v>30</v>
      </c>
      <c r="L23" s="111"/>
      <c r="M23" s="79">
        <f>IF(L23*H23&lt;=J23,L23*H23,J23)</f>
        <v>0</v>
      </c>
      <c r="N23" s="154">
        <f t="shared" si="0"/>
        <v>0</v>
      </c>
      <c r="O23" s="80"/>
      <c r="P23" s="27"/>
      <c r="Q23" s="27"/>
      <c r="R23" s="4"/>
      <c r="S23" s="4">
        <f>IF($O23=S$17,$N23,0)</f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>IF($O23=AG$17,$N23,0)</f>
        <v>0</v>
      </c>
    </row>
    <row r="24" spans="1:33" ht="25.5" customHeight="1">
      <c r="A24" s="146" t="s">
        <v>79</v>
      </c>
      <c r="B24" s="232"/>
      <c r="C24" s="1"/>
      <c r="D24" s="103" t="s">
        <v>30</v>
      </c>
      <c r="E24" s="78">
        <f t="shared" si="2"/>
        <v>0</v>
      </c>
      <c r="F24" s="247" t="s">
        <v>93</v>
      </c>
      <c r="G24" s="248"/>
      <c r="H24" s="216"/>
      <c r="I24" s="37">
        <f>V45</f>
        <v>0</v>
      </c>
      <c r="J24" s="37">
        <f>E24+I24</f>
        <v>0</v>
      </c>
      <c r="K24" s="156" t="s">
        <v>30</v>
      </c>
      <c r="L24" s="111"/>
      <c r="M24" s="79">
        <f>IF(L24*H24&lt;=J24,L24*H24,J24)</f>
        <v>0</v>
      </c>
      <c r="N24" s="154">
        <f t="shared" si="0"/>
        <v>0</v>
      </c>
      <c r="O24" s="80"/>
      <c r="P24" s="27"/>
      <c r="Q24" s="27"/>
      <c r="R24" s="4"/>
      <c r="S24" s="4">
        <f>IF($O24=S$17,$N24,0)</f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1"/>
        <v>0</v>
      </c>
      <c r="AB24" s="4">
        <f t="shared" si="1"/>
        <v>0</v>
      </c>
      <c r="AC24" s="4">
        <f t="shared" si="1"/>
        <v>0</v>
      </c>
      <c r="AD24" s="4">
        <f t="shared" si="1"/>
        <v>0</v>
      </c>
      <c r="AE24" s="4">
        <f t="shared" si="1"/>
        <v>0</v>
      </c>
      <c r="AF24" s="4">
        <f t="shared" si="1"/>
        <v>0</v>
      </c>
      <c r="AG24" s="4">
        <f>IF($O24=AG$17,$N24,0)</f>
        <v>0</v>
      </c>
    </row>
    <row r="25" spans="1:33" ht="25.5" customHeight="1">
      <c r="A25" s="202" t="s">
        <v>119</v>
      </c>
      <c r="B25" s="233"/>
      <c r="C25" s="1"/>
      <c r="D25" s="103" t="s">
        <v>30</v>
      </c>
      <c r="E25" s="78">
        <f t="shared" si="2"/>
        <v>0</v>
      </c>
      <c r="F25" s="247" t="s">
        <v>75</v>
      </c>
      <c r="G25" s="248"/>
      <c r="H25" s="221">
        <v>1</v>
      </c>
      <c r="I25" s="37">
        <f>W45</f>
        <v>0</v>
      </c>
      <c r="J25" s="37">
        <f>E25+I25</f>
        <v>0</v>
      </c>
      <c r="K25" s="156" t="s">
        <v>30</v>
      </c>
      <c r="L25" s="111"/>
      <c r="M25" s="79">
        <f>IF(L25*H25&lt;=J25,L25*H25,J25)</f>
        <v>0</v>
      </c>
      <c r="N25" s="154">
        <f>J25-M25</f>
        <v>0</v>
      </c>
      <c r="O25" s="80"/>
      <c r="P25" s="27"/>
      <c r="Q25" s="27"/>
      <c r="R25" s="4"/>
      <c r="S25" s="4">
        <f>IF($O25=S$17,$N25,0)</f>
        <v>0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1"/>
        <v>0</v>
      </c>
      <c r="AB25" s="4">
        <f t="shared" si="1"/>
        <v>0</v>
      </c>
      <c r="AC25" s="4">
        <f t="shared" si="1"/>
        <v>0</v>
      </c>
      <c r="AD25" s="4">
        <f t="shared" si="1"/>
        <v>0</v>
      </c>
      <c r="AE25" s="4">
        <f t="shared" si="1"/>
        <v>0</v>
      </c>
      <c r="AF25" s="4">
        <f t="shared" si="1"/>
        <v>0</v>
      </c>
      <c r="AG25" s="4">
        <f>IF($O25=AG$17,$N25,0)</f>
        <v>0</v>
      </c>
    </row>
    <row r="26" spans="1:61" s="16" customFormat="1" ht="12.75">
      <c r="A26" s="130" t="s">
        <v>61</v>
      </c>
      <c r="B26" s="228"/>
      <c r="C26" s="131"/>
      <c r="D26" s="131"/>
      <c r="E26" s="131"/>
      <c r="F26" s="131"/>
      <c r="G26" s="131"/>
      <c r="H26" s="162"/>
      <c r="I26" s="132"/>
      <c r="J26" s="132"/>
      <c r="K26" s="155"/>
      <c r="L26" s="133"/>
      <c r="M26" s="133"/>
      <c r="N26" s="143"/>
      <c r="O26" s="134"/>
      <c r="P26" s="27"/>
      <c r="Q26" s="27"/>
      <c r="R26" s="4"/>
      <c r="S26" s="4"/>
      <c r="T26" s="4"/>
      <c r="U26" s="4"/>
      <c r="V26" s="4"/>
      <c r="W26" s="4"/>
      <c r="X26" s="4"/>
      <c r="Y26" s="4"/>
      <c r="Z26" s="4"/>
      <c r="AA26" s="4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</row>
    <row r="27" spans="1:33" ht="25.5" customHeight="1">
      <c r="A27" s="147" t="s">
        <v>140</v>
      </c>
      <c r="B27" s="234"/>
      <c r="C27" s="1"/>
      <c r="D27" s="103" t="s">
        <v>30</v>
      </c>
      <c r="E27" s="78">
        <f t="shared" si="2"/>
        <v>0</v>
      </c>
      <c r="F27" s="247" t="s">
        <v>75</v>
      </c>
      <c r="G27" s="248"/>
      <c r="H27" s="221">
        <v>1</v>
      </c>
      <c r="I27" s="76" t="s">
        <v>30</v>
      </c>
      <c r="J27" s="37">
        <f>E27</f>
        <v>0</v>
      </c>
      <c r="K27" s="156" t="s">
        <v>30</v>
      </c>
      <c r="L27" s="111"/>
      <c r="M27" s="79">
        <f>IF(L27*H27&lt;=J27,L27*H27,J27)</f>
        <v>0</v>
      </c>
      <c r="N27" s="154">
        <f t="shared" si="0"/>
        <v>0</v>
      </c>
      <c r="O27" s="80"/>
      <c r="P27" s="27"/>
      <c r="Q27" s="27"/>
      <c r="R27" s="4"/>
      <c r="S27" s="4">
        <f>IF($O27=S$17,$N27,0)</f>
        <v>0</v>
      </c>
      <c r="T27" s="4">
        <f t="shared" si="1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1"/>
        <v>0</v>
      </c>
      <c r="AB27" s="4">
        <f t="shared" si="1"/>
        <v>0</v>
      </c>
      <c r="AC27" s="4">
        <f t="shared" si="1"/>
        <v>0</v>
      </c>
      <c r="AD27" s="4">
        <f t="shared" si="1"/>
        <v>0</v>
      </c>
      <c r="AE27" s="4">
        <f t="shared" si="1"/>
        <v>0</v>
      </c>
      <c r="AF27" s="4">
        <f t="shared" si="1"/>
        <v>0</v>
      </c>
      <c r="AG27" s="4">
        <f>IF($O27=AG$17,$N27,0)</f>
        <v>0</v>
      </c>
    </row>
    <row r="28" spans="1:28" ht="12.75">
      <c r="A28" s="129" t="s">
        <v>62</v>
      </c>
      <c r="B28" s="129"/>
      <c r="C28" s="218"/>
      <c r="D28" s="135"/>
      <c r="E28" s="136"/>
      <c r="F28" s="137"/>
      <c r="G28" s="137"/>
      <c r="H28" s="163"/>
      <c r="I28" s="138"/>
      <c r="J28" s="139"/>
      <c r="K28" s="139"/>
      <c r="L28" s="138"/>
      <c r="M28" s="136"/>
      <c r="N28" s="139"/>
      <c r="O28" s="219"/>
      <c r="P28" s="27"/>
      <c r="Q28" s="27"/>
      <c r="R28" s="4"/>
      <c r="AB28" s="36"/>
    </row>
    <row r="29" spans="1:33" ht="25.5" customHeight="1">
      <c r="A29" s="147" t="s">
        <v>138</v>
      </c>
      <c r="B29" s="234"/>
      <c r="C29" s="1"/>
      <c r="D29" s="217"/>
      <c r="E29" s="78">
        <f>1/12*(0.95*C29+$B$13*D29)*43560</f>
        <v>0</v>
      </c>
      <c r="F29" s="247" t="s">
        <v>91</v>
      </c>
      <c r="G29" s="248"/>
      <c r="H29" s="221">
        <v>0.2</v>
      </c>
      <c r="I29" s="37">
        <f>X45</f>
        <v>0</v>
      </c>
      <c r="J29" s="37">
        <f aca="true" t="shared" si="3" ref="J29:J43">E29+I29</f>
        <v>0</v>
      </c>
      <c r="K29" s="156" t="s">
        <v>30</v>
      </c>
      <c r="L29" s="76" t="s">
        <v>30</v>
      </c>
      <c r="M29" s="79">
        <f>J29*H29</f>
        <v>0</v>
      </c>
      <c r="N29" s="154">
        <f t="shared" si="0"/>
        <v>0</v>
      </c>
      <c r="O29" s="80"/>
      <c r="P29" s="27"/>
      <c r="Q29" s="27"/>
      <c r="R29" s="4"/>
      <c r="S29" s="4">
        <f>IF($O29=S$17,$N29,0)</f>
        <v>0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1"/>
        <v>0</v>
      </c>
      <c r="AB29" s="4">
        <f t="shared" si="1"/>
        <v>0</v>
      </c>
      <c r="AC29" s="4">
        <f t="shared" si="1"/>
        <v>0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>IF($O29=AG$17,$N29,0)</f>
        <v>0</v>
      </c>
    </row>
    <row r="30" spans="1:33" ht="25.5" customHeight="1">
      <c r="A30" s="147" t="s">
        <v>139</v>
      </c>
      <c r="B30" s="234"/>
      <c r="C30" s="1"/>
      <c r="D30" s="217"/>
      <c r="E30" s="78">
        <f>1/12*(0.95*C30+$B$13*D30)*43560</f>
        <v>0</v>
      </c>
      <c r="F30" s="247" t="s">
        <v>90</v>
      </c>
      <c r="G30" s="248"/>
      <c r="H30" s="221">
        <v>0.1</v>
      </c>
      <c r="I30" s="37">
        <f>Y45</f>
        <v>0</v>
      </c>
      <c r="J30" s="37">
        <f t="shared" si="3"/>
        <v>0</v>
      </c>
      <c r="K30" s="156" t="s">
        <v>30</v>
      </c>
      <c r="L30" s="76" t="s">
        <v>30</v>
      </c>
      <c r="M30" s="79">
        <f>J30*H30</f>
        <v>0</v>
      </c>
      <c r="N30" s="154">
        <f t="shared" si="0"/>
        <v>0</v>
      </c>
      <c r="O30" s="80"/>
      <c r="P30" s="27"/>
      <c r="Q30" s="27"/>
      <c r="R30" s="4"/>
      <c r="S30" s="4">
        <f>IF($O30=S$17,$N30,0)</f>
        <v>0</v>
      </c>
      <c r="T30" s="4">
        <f t="shared" si="1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1"/>
        <v>0</v>
      </c>
      <c r="AB30" s="4">
        <f t="shared" si="1"/>
        <v>0</v>
      </c>
      <c r="AC30" s="4">
        <f t="shared" si="1"/>
        <v>0</v>
      </c>
      <c r="AD30" s="4">
        <f t="shared" si="1"/>
        <v>0</v>
      </c>
      <c r="AE30" s="4">
        <f t="shared" si="1"/>
        <v>0</v>
      </c>
      <c r="AF30" s="4">
        <f t="shared" si="1"/>
        <v>0</v>
      </c>
      <c r="AG30" s="4">
        <f>IF($O30=AG$17,$N30,0)</f>
        <v>0</v>
      </c>
    </row>
    <row r="31" spans="1:33" ht="25.5" customHeight="1">
      <c r="A31" s="147" t="s">
        <v>82</v>
      </c>
      <c r="B31" s="234"/>
      <c r="C31" s="1"/>
      <c r="D31" s="217"/>
      <c r="E31" s="78">
        <f>1/12*(0.95*C31+$B$13*D31)*43560</f>
        <v>0</v>
      </c>
      <c r="F31" s="247" t="s">
        <v>89</v>
      </c>
      <c r="G31" s="248"/>
      <c r="H31" s="221">
        <v>0.3</v>
      </c>
      <c r="I31" s="37">
        <f>Z45</f>
        <v>0</v>
      </c>
      <c r="J31" s="37">
        <f t="shared" si="3"/>
        <v>0</v>
      </c>
      <c r="K31" s="156" t="s">
        <v>30</v>
      </c>
      <c r="L31" s="76" t="s">
        <v>30</v>
      </c>
      <c r="M31" s="79">
        <f>J31*H31</f>
        <v>0</v>
      </c>
      <c r="N31" s="154">
        <f t="shared" si="0"/>
        <v>0</v>
      </c>
      <c r="O31" s="80"/>
      <c r="P31" s="27"/>
      <c r="Q31" s="27"/>
      <c r="R31" s="4"/>
      <c r="S31" s="4">
        <f>IF($O31=S$17,$N31,0)</f>
        <v>0</v>
      </c>
      <c r="T31" s="4">
        <f t="shared" si="1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1"/>
        <v>0</v>
      </c>
      <c r="AB31" s="4">
        <f t="shared" si="1"/>
        <v>0</v>
      </c>
      <c r="AC31" s="4">
        <f t="shared" si="1"/>
        <v>0</v>
      </c>
      <c r="AD31" s="4">
        <f t="shared" si="1"/>
        <v>0</v>
      </c>
      <c r="AE31" s="4">
        <f t="shared" si="1"/>
        <v>0</v>
      </c>
      <c r="AF31" s="4">
        <f t="shared" si="1"/>
        <v>0</v>
      </c>
      <c r="AG31" s="4">
        <f>IF($O31=AG$17,$N31,0)</f>
        <v>0</v>
      </c>
    </row>
    <row r="32" spans="1:28" ht="12.75">
      <c r="A32" s="140" t="s">
        <v>63</v>
      </c>
      <c r="B32" s="129"/>
      <c r="C32" s="218"/>
      <c r="D32" s="135"/>
      <c r="E32" s="136"/>
      <c r="F32" s="137"/>
      <c r="G32" s="137"/>
      <c r="H32" s="163"/>
      <c r="I32" s="138"/>
      <c r="J32" s="139"/>
      <c r="K32" s="139"/>
      <c r="L32" s="138"/>
      <c r="M32" s="136"/>
      <c r="N32" s="139"/>
      <c r="O32" s="219"/>
      <c r="P32" s="27"/>
      <c r="Q32" s="27"/>
      <c r="R32" s="4"/>
      <c r="AB32" s="36"/>
    </row>
    <row r="33" spans="1:33" ht="25.5" customHeight="1">
      <c r="A33" s="147" t="s">
        <v>141</v>
      </c>
      <c r="B33" s="234"/>
      <c r="C33" s="1"/>
      <c r="D33" s="217"/>
      <c r="E33" s="78">
        <f>1/12*(0.95*C33+$B$13*D33)*43560</f>
        <v>0</v>
      </c>
      <c r="F33" s="247" t="s">
        <v>75</v>
      </c>
      <c r="G33" s="248"/>
      <c r="H33" s="221">
        <v>1</v>
      </c>
      <c r="I33" s="37">
        <f>AA45</f>
        <v>0</v>
      </c>
      <c r="J33" s="37">
        <f t="shared" si="3"/>
        <v>0</v>
      </c>
      <c r="K33" s="156" t="s">
        <v>30</v>
      </c>
      <c r="L33" s="111"/>
      <c r="M33" s="79">
        <f>IF(L33*H33&lt;=J33,L33*H33,J33)</f>
        <v>0</v>
      </c>
      <c r="N33" s="154">
        <f t="shared" si="0"/>
        <v>0</v>
      </c>
      <c r="O33" s="80"/>
      <c r="P33" s="27"/>
      <c r="Q33" s="27"/>
      <c r="R33" s="4"/>
      <c r="S33" s="4">
        <f>IF($O33=S$17,$N33,0)</f>
        <v>0</v>
      </c>
      <c r="T33" s="4">
        <f t="shared" si="1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1"/>
        <v>0</v>
      </c>
      <c r="AB33" s="4">
        <f t="shared" si="1"/>
        <v>0</v>
      </c>
      <c r="AC33" s="4">
        <f t="shared" si="1"/>
        <v>0</v>
      </c>
      <c r="AD33" s="4">
        <f t="shared" si="1"/>
        <v>0</v>
      </c>
      <c r="AE33" s="4">
        <f t="shared" si="1"/>
        <v>0</v>
      </c>
      <c r="AF33" s="4">
        <f t="shared" si="1"/>
        <v>0</v>
      </c>
      <c r="AG33" s="4">
        <f>IF($O33=AG$17,$N33,0)</f>
        <v>0</v>
      </c>
    </row>
    <row r="34" spans="1:28" ht="12.75">
      <c r="A34" s="140" t="s">
        <v>64</v>
      </c>
      <c r="B34" s="129"/>
      <c r="C34" s="218"/>
      <c r="D34" s="135"/>
      <c r="E34" s="136"/>
      <c r="F34" s="137"/>
      <c r="G34" s="137"/>
      <c r="H34" s="163"/>
      <c r="I34" s="138"/>
      <c r="J34" s="139"/>
      <c r="K34" s="139"/>
      <c r="L34" s="138"/>
      <c r="M34" s="136"/>
      <c r="N34" s="139"/>
      <c r="O34" s="219"/>
      <c r="P34" s="27"/>
      <c r="Q34" s="27"/>
      <c r="R34" s="4"/>
      <c r="AB34" s="36"/>
    </row>
    <row r="35" spans="1:33" ht="25.5" customHeight="1">
      <c r="A35" s="147" t="s">
        <v>142</v>
      </c>
      <c r="B35" s="234"/>
      <c r="C35" s="1"/>
      <c r="D35" s="217"/>
      <c r="E35" s="78">
        <f>1/12*(0.95*C35+$B$13*D35)*43560</f>
        <v>0</v>
      </c>
      <c r="F35" s="247" t="s">
        <v>75</v>
      </c>
      <c r="G35" s="248"/>
      <c r="H35" s="221">
        <v>1</v>
      </c>
      <c r="I35" s="37">
        <f>AB45</f>
        <v>0</v>
      </c>
      <c r="J35" s="37">
        <f t="shared" si="3"/>
        <v>0</v>
      </c>
      <c r="K35" s="156" t="s">
        <v>30</v>
      </c>
      <c r="L35" s="111"/>
      <c r="M35" s="79">
        <f>IF(L35*H35&lt;=J35,L35*H35,J35)</f>
        <v>0</v>
      </c>
      <c r="N35" s="154">
        <f t="shared" si="0"/>
        <v>0</v>
      </c>
      <c r="O35" s="80"/>
      <c r="P35" s="27"/>
      <c r="Q35" s="27"/>
      <c r="R35" s="4"/>
      <c r="S35" s="4">
        <f aca="true" t="shared" si="4" ref="S35:AE35">IF($O35=S$17,$N35,0)</f>
        <v>0</v>
      </c>
      <c r="T35" s="4">
        <f t="shared" si="4"/>
        <v>0</v>
      </c>
      <c r="U35" s="4">
        <f t="shared" si="4"/>
        <v>0</v>
      </c>
      <c r="V35" s="4">
        <f t="shared" si="4"/>
        <v>0</v>
      </c>
      <c r="W35" s="4">
        <f t="shared" si="4"/>
        <v>0</v>
      </c>
      <c r="X35" s="4">
        <f t="shared" si="4"/>
        <v>0</v>
      </c>
      <c r="Y35" s="4">
        <f t="shared" si="4"/>
        <v>0</v>
      </c>
      <c r="Z35" s="4">
        <f t="shared" si="4"/>
        <v>0</v>
      </c>
      <c r="AA35" s="4">
        <f t="shared" si="4"/>
        <v>0</v>
      </c>
      <c r="AB35" s="4">
        <f t="shared" si="4"/>
        <v>0</v>
      </c>
      <c r="AC35" s="4">
        <f t="shared" si="4"/>
        <v>0</v>
      </c>
      <c r="AD35" s="4">
        <f t="shared" si="4"/>
        <v>0</v>
      </c>
      <c r="AE35" s="4">
        <f t="shared" si="4"/>
        <v>0</v>
      </c>
      <c r="AF35" s="4">
        <f>IF($O35=AF$17,$N35,0)</f>
        <v>0</v>
      </c>
      <c r="AG35" s="4">
        <f>IF($O35=AG$17,$N35,0)</f>
        <v>0</v>
      </c>
    </row>
    <row r="36" spans="1:28" ht="12.75">
      <c r="A36" s="141" t="s">
        <v>65</v>
      </c>
      <c r="B36" s="141"/>
      <c r="C36" s="218"/>
      <c r="D36" s="135"/>
      <c r="E36" s="136"/>
      <c r="F36" s="137"/>
      <c r="G36" s="137"/>
      <c r="H36" s="163"/>
      <c r="I36" s="138"/>
      <c r="J36" s="139"/>
      <c r="K36" s="139"/>
      <c r="L36" s="138"/>
      <c r="M36" s="136"/>
      <c r="N36" s="139"/>
      <c r="O36" s="219"/>
      <c r="P36" s="27"/>
      <c r="Q36" s="27"/>
      <c r="R36" s="4"/>
      <c r="AB36" s="36"/>
    </row>
    <row r="37" spans="1:33" ht="25.5" customHeight="1">
      <c r="A37" s="147" t="s">
        <v>83</v>
      </c>
      <c r="B37" s="234"/>
      <c r="C37" s="1"/>
      <c r="D37" s="217"/>
      <c r="E37" s="78">
        <f>1/12*(0.95*C37+$B$13*D37)*43560</f>
        <v>0</v>
      </c>
      <c r="F37" s="247" t="s">
        <v>75</v>
      </c>
      <c r="G37" s="248"/>
      <c r="H37" s="221">
        <v>1</v>
      </c>
      <c r="I37" s="37">
        <f>AC45</f>
        <v>0</v>
      </c>
      <c r="J37" s="128">
        <f t="shared" si="3"/>
        <v>0</v>
      </c>
      <c r="K37" s="156" t="s">
        <v>30</v>
      </c>
      <c r="L37" s="111"/>
      <c r="M37" s="79">
        <f>IF(L37*H37&lt;=J37,L37*H37,J37)</f>
        <v>0</v>
      </c>
      <c r="N37" s="154">
        <f t="shared" si="0"/>
        <v>0</v>
      </c>
      <c r="O37" s="80"/>
      <c r="P37" s="27"/>
      <c r="Q37" s="27"/>
      <c r="R37" s="4"/>
      <c r="S37" s="4">
        <f>IF($O37=S$17,$N37,0)</f>
        <v>0</v>
      </c>
      <c r="T37" s="4">
        <f aca="true" t="shared" si="5" ref="T37:AF37">IF($O37=T$17,$N37,0)</f>
        <v>0</v>
      </c>
      <c r="U37" s="4">
        <f t="shared" si="5"/>
        <v>0</v>
      </c>
      <c r="V37" s="4">
        <f t="shared" si="5"/>
        <v>0</v>
      </c>
      <c r="W37" s="4">
        <f t="shared" si="5"/>
        <v>0</v>
      </c>
      <c r="X37" s="4">
        <f t="shared" si="5"/>
        <v>0</v>
      </c>
      <c r="Y37" s="4">
        <f t="shared" si="5"/>
        <v>0</v>
      </c>
      <c r="Z37" s="4">
        <f t="shared" si="5"/>
        <v>0</v>
      </c>
      <c r="AA37" s="4">
        <f t="shared" si="5"/>
        <v>0</v>
      </c>
      <c r="AB37" s="4">
        <f t="shared" si="5"/>
        <v>0</v>
      </c>
      <c r="AC37" s="4">
        <f t="shared" si="5"/>
        <v>0</v>
      </c>
      <c r="AD37" s="4">
        <f t="shared" si="5"/>
        <v>0</v>
      </c>
      <c r="AE37" s="4">
        <f t="shared" si="5"/>
        <v>0</v>
      </c>
      <c r="AF37" s="4">
        <f t="shared" si="5"/>
        <v>0</v>
      </c>
      <c r="AG37" s="4">
        <f>IF($O37=AG$17,$N37,0)</f>
        <v>0</v>
      </c>
    </row>
    <row r="38" spans="1:28" ht="12.75">
      <c r="A38" s="144" t="s">
        <v>66</v>
      </c>
      <c r="B38" s="141"/>
      <c r="C38" s="218"/>
      <c r="D38" s="135"/>
      <c r="E38" s="136"/>
      <c r="F38" s="137"/>
      <c r="G38" s="137"/>
      <c r="H38" s="163"/>
      <c r="I38" s="138"/>
      <c r="J38" s="139"/>
      <c r="K38" s="139"/>
      <c r="L38" s="138"/>
      <c r="M38" s="136"/>
      <c r="N38" s="139"/>
      <c r="O38" s="219"/>
      <c r="P38" s="27"/>
      <c r="Q38" s="27"/>
      <c r="R38" s="4"/>
      <c r="AB38" s="36"/>
    </row>
    <row r="39" spans="1:33" ht="25.5" customHeight="1">
      <c r="A39" s="147" t="s">
        <v>84</v>
      </c>
      <c r="B39" s="234"/>
      <c r="C39" s="1"/>
      <c r="D39" s="217"/>
      <c r="E39" s="78">
        <f>1/12*(0.95*C39+$B$13*D39)*43560</f>
        <v>0</v>
      </c>
      <c r="F39" s="247" t="s">
        <v>132</v>
      </c>
      <c r="G39" s="248"/>
      <c r="H39" s="221">
        <v>0.1</v>
      </c>
      <c r="I39" s="37">
        <f>AD45</f>
        <v>0</v>
      </c>
      <c r="J39" s="37">
        <f t="shared" si="3"/>
        <v>0</v>
      </c>
      <c r="K39" s="156" t="s">
        <v>30</v>
      </c>
      <c r="L39" s="37" t="s">
        <v>30</v>
      </c>
      <c r="M39" s="79">
        <f>J39*H39</f>
        <v>0</v>
      </c>
      <c r="N39" s="154">
        <f t="shared" si="0"/>
        <v>0</v>
      </c>
      <c r="O39" s="80"/>
      <c r="P39" s="27"/>
      <c r="Q39" s="27"/>
      <c r="R39" s="4"/>
      <c r="S39" s="4">
        <f>IF($O39=S$17,$N39,0)</f>
        <v>0</v>
      </c>
      <c r="T39" s="4">
        <f aca="true" t="shared" si="6" ref="T39:AF39">IF($O39=T$17,$N39,0)</f>
        <v>0</v>
      </c>
      <c r="U39" s="4">
        <f t="shared" si="6"/>
        <v>0</v>
      </c>
      <c r="V39" s="4">
        <f t="shared" si="6"/>
        <v>0</v>
      </c>
      <c r="W39" s="4">
        <f t="shared" si="6"/>
        <v>0</v>
      </c>
      <c r="X39" s="4">
        <f t="shared" si="6"/>
        <v>0</v>
      </c>
      <c r="Y39" s="4">
        <f t="shared" si="6"/>
        <v>0</v>
      </c>
      <c r="Z39" s="4">
        <f t="shared" si="6"/>
        <v>0</v>
      </c>
      <c r="AA39" s="4">
        <f t="shared" si="6"/>
        <v>0</v>
      </c>
      <c r="AB39" s="4">
        <f t="shared" si="6"/>
        <v>0</v>
      </c>
      <c r="AC39" s="4">
        <f t="shared" si="6"/>
        <v>0</v>
      </c>
      <c r="AD39" s="4">
        <f t="shared" si="6"/>
        <v>0</v>
      </c>
      <c r="AE39" s="4">
        <f t="shared" si="6"/>
        <v>0</v>
      </c>
      <c r="AF39" s="4">
        <f t="shared" si="6"/>
        <v>0</v>
      </c>
      <c r="AG39" s="4">
        <f>IF($O39=AG$17,$N39,0)</f>
        <v>0</v>
      </c>
    </row>
    <row r="40" spans="1:28" ht="12.75">
      <c r="A40" s="145" t="s">
        <v>67</v>
      </c>
      <c r="B40" s="145"/>
      <c r="C40" s="218"/>
      <c r="D40" s="135"/>
      <c r="E40" s="136"/>
      <c r="F40" s="137"/>
      <c r="G40" s="137"/>
      <c r="H40" s="163"/>
      <c r="I40" s="138"/>
      <c r="J40" s="139"/>
      <c r="K40" s="139"/>
      <c r="L40" s="138"/>
      <c r="M40" s="136"/>
      <c r="N40" s="139"/>
      <c r="O40" s="219"/>
      <c r="P40" s="27"/>
      <c r="Q40" s="27"/>
      <c r="R40" s="4"/>
      <c r="AB40" s="36"/>
    </row>
    <row r="41" spans="1:28" ht="38.25" customHeight="1">
      <c r="A41" s="149" t="s">
        <v>85</v>
      </c>
      <c r="B41" s="235"/>
      <c r="C41" s="1"/>
      <c r="D41" s="217"/>
      <c r="E41" s="78">
        <f>1/12*(0.95*C41+$B$13*D41)*43560</f>
        <v>0</v>
      </c>
      <c r="F41" s="247" t="s">
        <v>101</v>
      </c>
      <c r="G41" s="248"/>
      <c r="H41" s="221" t="s">
        <v>30</v>
      </c>
      <c r="I41" s="37">
        <f>AE45</f>
        <v>0</v>
      </c>
      <c r="J41" s="37">
        <f t="shared" si="3"/>
        <v>0</v>
      </c>
      <c r="K41" s="215"/>
      <c r="L41" s="76" t="s">
        <v>30</v>
      </c>
      <c r="M41" s="79">
        <f>IF(K41*0.09&lt;=J41,K41*0.09,J41)</f>
        <v>0</v>
      </c>
      <c r="N41" s="154">
        <f t="shared" si="0"/>
        <v>0</v>
      </c>
      <c r="O41" s="220" t="s">
        <v>30</v>
      </c>
      <c r="P41" s="27"/>
      <c r="Q41" s="27"/>
      <c r="R41" s="4"/>
      <c r="AB41" s="36"/>
    </row>
    <row r="42" spans="1:28" ht="38.25" customHeight="1">
      <c r="A42" s="149" t="s">
        <v>86</v>
      </c>
      <c r="B42" s="235"/>
      <c r="C42" s="1"/>
      <c r="D42" s="217"/>
      <c r="E42" s="78">
        <f>1/12*(0.95*C42+$B$13*D42)*43560</f>
        <v>0</v>
      </c>
      <c r="F42" s="247" t="s">
        <v>102</v>
      </c>
      <c r="G42" s="248"/>
      <c r="H42" s="221" t="s">
        <v>30</v>
      </c>
      <c r="I42" s="37">
        <f>AF45</f>
        <v>0</v>
      </c>
      <c r="J42" s="37">
        <f t="shared" si="3"/>
        <v>0</v>
      </c>
      <c r="K42" s="215"/>
      <c r="L42" s="76" t="s">
        <v>30</v>
      </c>
      <c r="M42" s="79">
        <f>IF(K42*0.06&lt;=J42,K42*0.06,J42)</f>
        <v>0</v>
      </c>
      <c r="N42" s="154">
        <f t="shared" si="0"/>
        <v>0</v>
      </c>
      <c r="O42" s="220" t="s">
        <v>30</v>
      </c>
      <c r="P42" s="27"/>
      <c r="Q42" s="27"/>
      <c r="R42" s="4"/>
      <c r="AB42" s="36"/>
    </row>
    <row r="43" spans="1:28" ht="38.25" customHeight="1">
      <c r="A43" s="148" t="s">
        <v>137</v>
      </c>
      <c r="B43" s="236"/>
      <c r="C43" s="1"/>
      <c r="D43" s="217"/>
      <c r="E43" s="78">
        <f>1/12*(0.95*C43+$B$13*D43)*43560</f>
        <v>0</v>
      </c>
      <c r="F43" s="247" t="s">
        <v>102</v>
      </c>
      <c r="G43" s="248"/>
      <c r="H43" s="221" t="s">
        <v>30</v>
      </c>
      <c r="I43" s="37">
        <f>AG45</f>
        <v>0</v>
      </c>
      <c r="J43" s="37">
        <f t="shared" si="3"/>
        <v>0</v>
      </c>
      <c r="K43" s="215"/>
      <c r="L43" s="76" t="s">
        <v>30</v>
      </c>
      <c r="M43" s="79">
        <f>IF(K43*0.06&lt;=J43,K43*0.06,J43)</f>
        <v>0</v>
      </c>
      <c r="N43" s="154">
        <f t="shared" si="0"/>
        <v>0</v>
      </c>
      <c r="O43" s="220" t="s">
        <v>30</v>
      </c>
      <c r="P43" s="27"/>
      <c r="Q43" s="27"/>
      <c r="R43" s="4"/>
      <c r="AB43" s="36"/>
    </row>
    <row r="44" spans="1:33" ht="25.5" customHeight="1">
      <c r="A44" s="252" t="s">
        <v>7</v>
      </c>
      <c r="B44" s="253"/>
      <c r="C44" s="81">
        <f>SUM(C17:C43)</f>
        <v>0</v>
      </c>
      <c r="D44" s="82">
        <f>SUM(D17:D43)</f>
        <v>0</v>
      </c>
      <c r="E44" s="94"/>
      <c r="F44" s="249" t="s">
        <v>126</v>
      </c>
      <c r="G44" s="249"/>
      <c r="H44" s="249"/>
      <c r="I44" s="249"/>
      <c r="J44" s="249"/>
      <c r="K44" s="249"/>
      <c r="L44" s="257"/>
      <c r="M44" s="150">
        <f>SUM(M17:M43)</f>
        <v>0</v>
      </c>
      <c r="N44" s="244" t="s">
        <v>123</v>
      </c>
      <c r="O44" s="245"/>
      <c r="P44" s="205"/>
      <c r="Q44" s="40"/>
      <c r="R44" s="40"/>
      <c r="S44" s="9"/>
      <c r="T44" s="9"/>
      <c r="U44" s="9"/>
      <c r="V44" s="9"/>
      <c r="W44" s="9"/>
      <c r="X44" s="9"/>
      <c r="Y44" s="9"/>
      <c r="Z44" s="9"/>
      <c r="AA44" s="9"/>
      <c r="AB44" s="58"/>
      <c r="AC44" s="58"/>
      <c r="AD44" s="58"/>
      <c r="AE44" s="58"/>
      <c r="AF44" s="58"/>
      <c r="AG44" s="58"/>
    </row>
    <row r="45" spans="1:33" ht="12.75">
      <c r="A45" s="63"/>
      <c r="B45" s="63"/>
      <c r="C45" s="64"/>
      <c r="D45" s="64"/>
      <c r="E45" s="64"/>
      <c r="F45" s="5"/>
      <c r="G45" s="5"/>
      <c r="H45" s="5"/>
      <c r="R45" s="40" t="s">
        <v>7</v>
      </c>
      <c r="S45" s="40">
        <f aca="true" t="shared" si="7" ref="S45:AG45">SUM(S17:S44)</f>
        <v>0</v>
      </c>
      <c r="T45" s="40">
        <f t="shared" si="7"/>
        <v>0</v>
      </c>
      <c r="U45" s="40">
        <f t="shared" si="7"/>
        <v>0</v>
      </c>
      <c r="V45" s="40">
        <f t="shared" si="7"/>
        <v>0</v>
      </c>
      <c r="W45" s="40">
        <f t="shared" si="7"/>
        <v>0</v>
      </c>
      <c r="X45" s="40">
        <f t="shared" si="7"/>
        <v>0</v>
      </c>
      <c r="Y45" s="40">
        <f t="shared" si="7"/>
        <v>0</v>
      </c>
      <c r="Z45" s="40">
        <f t="shared" si="7"/>
        <v>0</v>
      </c>
      <c r="AA45" s="40">
        <f t="shared" si="7"/>
        <v>0</v>
      </c>
      <c r="AB45" s="40">
        <f t="shared" si="7"/>
        <v>0</v>
      </c>
      <c r="AC45" s="40">
        <f t="shared" si="7"/>
        <v>0</v>
      </c>
      <c r="AD45" s="40">
        <f t="shared" si="7"/>
        <v>0</v>
      </c>
      <c r="AE45" s="40">
        <f t="shared" si="7"/>
        <v>0</v>
      </c>
      <c r="AF45" s="40">
        <f t="shared" si="7"/>
        <v>0</v>
      </c>
      <c r="AG45" s="40">
        <f t="shared" si="7"/>
        <v>0</v>
      </c>
    </row>
    <row r="46" spans="1:28" ht="12.75">
      <c r="A46" s="63"/>
      <c r="B46" s="63"/>
      <c r="C46" s="64"/>
      <c r="D46" s="64"/>
      <c r="E46" s="64"/>
      <c r="F46" s="5"/>
      <c r="G46" s="5"/>
      <c r="H46" s="5"/>
      <c r="I46" s="256" t="s">
        <v>149</v>
      </c>
      <c r="J46" s="256"/>
      <c r="K46" s="256"/>
      <c r="L46" s="256"/>
      <c r="M46" s="226">
        <f>F15-M44</f>
        <v>0</v>
      </c>
      <c r="R46" s="5"/>
      <c r="T46" s="6"/>
      <c r="U46" s="6"/>
      <c r="V46" s="6"/>
      <c r="W46" s="6"/>
      <c r="AB46" s="36"/>
    </row>
    <row r="47" spans="1:61" s="9" customFormat="1" ht="12.75">
      <c r="A47" s="15"/>
      <c r="B47" s="15"/>
      <c r="C47" s="77"/>
      <c r="D47" s="64"/>
      <c r="E47" s="6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6"/>
      <c r="U47" s="6"/>
      <c r="V47" s="6"/>
      <c r="W47" s="6"/>
      <c r="X47" s="4"/>
      <c r="Y47" s="4"/>
      <c r="Z47" s="4"/>
      <c r="AA47" s="4"/>
      <c r="AB47" s="36"/>
      <c r="AC47" s="36"/>
      <c r="AD47" s="36"/>
      <c r="AE47" s="36"/>
      <c r="AF47" s="36"/>
      <c r="AG47" s="36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</row>
    <row r="48" spans="1:28" ht="12.75">
      <c r="A48" s="246"/>
      <c r="B48" s="246"/>
      <c r="C48" s="246"/>
      <c r="D48" s="246"/>
      <c r="E48" s="100"/>
      <c r="F48" s="5"/>
      <c r="G48" s="5"/>
      <c r="H48" s="5"/>
      <c r="L48" s="5"/>
      <c r="M48" s="5"/>
      <c r="R48" s="5"/>
      <c r="T48" s="6"/>
      <c r="U48" s="6"/>
      <c r="V48" s="6"/>
      <c r="W48" s="6"/>
      <c r="AB48" s="36"/>
    </row>
    <row r="49" spans="1:28" ht="12.75">
      <c r="A49" s="246"/>
      <c r="B49" s="246"/>
      <c r="C49" s="246"/>
      <c r="D49" s="246"/>
      <c r="E49" s="101"/>
      <c r="F49" s="5"/>
      <c r="G49" s="5"/>
      <c r="H49" s="5"/>
      <c r="L49" s="5"/>
      <c r="M49" s="5"/>
      <c r="R49" s="5"/>
      <c r="T49" s="6"/>
      <c r="U49" s="6"/>
      <c r="V49" s="6"/>
      <c r="W49" s="6"/>
      <c r="AB49" s="36"/>
    </row>
    <row r="50" spans="1:28" ht="12.75" hidden="1">
      <c r="A50" s="96" t="s">
        <v>88</v>
      </c>
      <c r="B50" s="229"/>
      <c r="C50" s="64"/>
      <c r="D50" s="35"/>
      <c r="E50" s="35"/>
      <c r="F50" s="35"/>
      <c r="G50" s="35"/>
      <c r="H50" s="35"/>
      <c r="I50" s="35"/>
      <c r="K50" s="161"/>
      <c r="L50" s="161"/>
      <c r="M50" s="161"/>
      <c r="N50" s="161"/>
      <c r="O50" s="161"/>
      <c r="R50" s="5"/>
      <c r="T50" s="6"/>
      <c r="U50" s="6"/>
      <c r="V50" s="6"/>
      <c r="W50" s="6"/>
      <c r="AB50" s="36"/>
    </row>
    <row r="51" spans="1:28" ht="25.5" hidden="1">
      <c r="A51" s="146" t="s">
        <v>76</v>
      </c>
      <c r="B51" s="230"/>
      <c r="C51" s="64"/>
      <c r="D51" s="64"/>
      <c r="E51" s="5"/>
      <c r="L51" s="5"/>
      <c r="M51" s="5"/>
      <c r="R51" s="5"/>
      <c r="T51" s="6"/>
      <c r="U51" s="6"/>
      <c r="V51" s="6"/>
      <c r="W51" s="6"/>
      <c r="AB51" s="36"/>
    </row>
    <row r="52" spans="1:28" ht="12.75" hidden="1">
      <c r="A52" s="146" t="s">
        <v>77</v>
      </c>
      <c r="B52" s="230"/>
      <c r="C52" s="64"/>
      <c r="L52" s="5"/>
      <c r="M52" s="5"/>
      <c r="R52" s="5"/>
      <c r="T52" s="6"/>
      <c r="U52" s="6"/>
      <c r="V52" s="6"/>
      <c r="W52" s="6"/>
      <c r="AB52" s="36"/>
    </row>
    <row r="53" spans="1:28" ht="12.75" customHeight="1" hidden="1">
      <c r="A53" s="146" t="s">
        <v>78</v>
      </c>
      <c r="B53" s="230"/>
      <c r="C53" s="64"/>
      <c r="D53" s="64"/>
      <c r="E53" s="157"/>
      <c r="F53" s="5"/>
      <c r="I53" s="159"/>
      <c r="L53" s="157"/>
      <c r="M53" s="5"/>
      <c r="O53" s="157"/>
      <c r="R53" s="5"/>
      <c r="T53" s="6"/>
      <c r="U53" s="6"/>
      <c r="V53" s="6"/>
      <c r="W53" s="6"/>
      <c r="AB53" s="36"/>
    </row>
    <row r="54" spans="1:28" ht="25.5" customHeight="1" hidden="1">
      <c r="A54" s="146" t="s">
        <v>79</v>
      </c>
      <c r="B54" s="230"/>
      <c r="C54" s="64"/>
      <c r="D54" s="64"/>
      <c r="E54" s="157"/>
      <c r="F54" s="5"/>
      <c r="I54" s="159"/>
      <c r="L54" s="157"/>
      <c r="M54" s="5"/>
      <c r="O54" s="157"/>
      <c r="R54" s="5"/>
      <c r="T54" s="6"/>
      <c r="U54" s="6"/>
      <c r="V54" s="6"/>
      <c r="W54" s="6"/>
      <c r="AB54" s="36"/>
    </row>
    <row r="55" spans="1:28" ht="12.75" customHeight="1" hidden="1">
      <c r="A55" s="147" t="s">
        <v>80</v>
      </c>
      <c r="B55" s="43"/>
      <c r="C55" s="64"/>
      <c r="D55" s="64"/>
      <c r="E55" s="157"/>
      <c r="F55" s="5"/>
      <c r="I55" s="159"/>
      <c r="L55" s="157"/>
      <c r="M55" s="5"/>
      <c r="O55" s="157"/>
      <c r="R55" s="5"/>
      <c r="T55" s="6"/>
      <c r="U55" s="6"/>
      <c r="V55" s="6"/>
      <c r="W55" s="6"/>
      <c r="AB55" s="36"/>
    </row>
    <row r="56" spans="1:28" ht="12.75" customHeight="1" hidden="1">
      <c r="A56" s="147" t="s">
        <v>81</v>
      </c>
      <c r="B56" s="43"/>
      <c r="C56" s="64"/>
      <c r="D56" s="64"/>
      <c r="E56" s="157"/>
      <c r="F56" s="5"/>
      <c r="I56" s="159"/>
      <c r="L56" s="157"/>
      <c r="M56" s="5"/>
      <c r="O56" s="157"/>
      <c r="R56" s="5"/>
      <c r="T56" s="6"/>
      <c r="U56" s="6"/>
      <c r="V56" s="6"/>
      <c r="W56" s="6"/>
      <c r="AB56" s="36"/>
    </row>
    <row r="57" spans="1:28" ht="12.75" customHeight="1" hidden="1">
      <c r="A57" s="147" t="s">
        <v>82</v>
      </c>
      <c r="B57" s="43"/>
      <c r="C57" s="64"/>
      <c r="D57" s="64"/>
      <c r="E57" s="157"/>
      <c r="F57" s="5"/>
      <c r="I57" s="159"/>
      <c r="L57" s="157"/>
      <c r="M57" s="5"/>
      <c r="O57" s="157"/>
      <c r="R57" s="5"/>
      <c r="T57" s="6"/>
      <c r="U57" s="6"/>
      <c r="V57" s="6"/>
      <c r="W57" s="6"/>
      <c r="AB57" s="36"/>
    </row>
    <row r="58" spans="1:28" ht="12.75" customHeight="1" hidden="1">
      <c r="A58" s="147" t="s">
        <v>141</v>
      </c>
      <c r="B58" s="43"/>
      <c r="C58" s="64"/>
      <c r="D58" s="64"/>
      <c r="E58" s="157"/>
      <c r="F58" s="5"/>
      <c r="I58" s="159"/>
      <c r="L58" s="157"/>
      <c r="M58" s="5"/>
      <c r="O58" s="157"/>
      <c r="R58" s="5"/>
      <c r="T58" s="6"/>
      <c r="U58" s="6"/>
      <c r="V58" s="6"/>
      <c r="W58" s="6"/>
      <c r="AB58" s="36"/>
    </row>
    <row r="59" spans="1:28" ht="12.75" customHeight="1" hidden="1">
      <c r="A59" s="147" t="s">
        <v>142</v>
      </c>
      <c r="B59" s="43"/>
      <c r="C59" s="64"/>
      <c r="D59" s="64"/>
      <c r="E59" s="157"/>
      <c r="F59" s="5"/>
      <c r="I59" s="159"/>
      <c r="L59" s="157"/>
      <c r="M59" s="5"/>
      <c r="O59" s="157"/>
      <c r="R59" s="5"/>
      <c r="T59" s="6"/>
      <c r="U59" s="6"/>
      <c r="V59" s="6"/>
      <c r="W59" s="6"/>
      <c r="AB59" s="36"/>
    </row>
    <row r="60" spans="1:28" ht="12.75" customHeight="1" hidden="1">
      <c r="A60" s="147" t="s">
        <v>83</v>
      </c>
      <c r="B60" s="43"/>
      <c r="C60" s="64"/>
      <c r="D60" s="64"/>
      <c r="E60" s="157"/>
      <c r="F60" s="5"/>
      <c r="I60" s="159"/>
      <c r="L60" s="157"/>
      <c r="M60" s="5"/>
      <c r="O60" s="157"/>
      <c r="R60" s="5"/>
      <c r="T60" s="6"/>
      <c r="U60" s="6"/>
      <c r="V60" s="6"/>
      <c r="W60" s="6"/>
      <c r="AB60" s="36"/>
    </row>
    <row r="61" spans="1:28" ht="12.75" customHeight="1" hidden="1">
      <c r="A61" s="152" t="s">
        <v>84</v>
      </c>
      <c r="B61" s="43"/>
      <c r="C61" s="64"/>
      <c r="D61" s="64"/>
      <c r="E61" s="157"/>
      <c r="F61" s="5"/>
      <c r="I61" s="159"/>
      <c r="L61" s="157"/>
      <c r="M61" s="5"/>
      <c r="O61" s="157"/>
      <c r="R61" s="5"/>
      <c r="T61" s="6"/>
      <c r="U61" s="6"/>
      <c r="V61" s="6"/>
      <c r="W61" s="6"/>
      <c r="AB61" s="36"/>
    </row>
    <row r="62" spans="1:28" ht="12.75" customHeight="1" hidden="1">
      <c r="A62" s="153" t="s">
        <v>85</v>
      </c>
      <c r="B62" s="222"/>
      <c r="C62" s="64"/>
      <c r="D62" s="64"/>
      <c r="E62" s="157"/>
      <c r="F62" s="5"/>
      <c r="I62" s="159"/>
      <c r="L62" s="157"/>
      <c r="M62" s="5"/>
      <c r="O62" s="157"/>
      <c r="R62" s="5"/>
      <c r="T62" s="6"/>
      <c r="U62" s="6"/>
      <c r="V62" s="6"/>
      <c r="W62" s="6"/>
      <c r="AB62" s="36"/>
    </row>
    <row r="63" spans="1:28" ht="12.75" customHeight="1" hidden="1">
      <c r="A63" s="153" t="s">
        <v>86</v>
      </c>
      <c r="B63" s="222"/>
      <c r="C63" s="64"/>
      <c r="D63" s="64"/>
      <c r="E63" s="157"/>
      <c r="F63" s="5"/>
      <c r="I63" s="159"/>
      <c r="L63" s="157"/>
      <c r="M63" s="5"/>
      <c r="O63" s="157"/>
      <c r="R63" s="5"/>
      <c r="T63" s="6"/>
      <c r="U63" s="6"/>
      <c r="V63" s="6"/>
      <c r="W63" s="6"/>
      <c r="AB63" s="36"/>
    </row>
    <row r="64" spans="1:28" ht="12.75" customHeight="1" hidden="1">
      <c r="A64" s="153" t="s">
        <v>87</v>
      </c>
      <c r="B64" s="222"/>
      <c r="C64" s="6"/>
      <c r="D64" s="64"/>
      <c r="E64" s="157"/>
      <c r="F64" s="6"/>
      <c r="I64" s="159"/>
      <c r="L64" s="157"/>
      <c r="M64" s="6"/>
      <c r="O64" s="157"/>
      <c r="P64" s="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36"/>
    </row>
    <row r="65" spans="1:48" ht="18">
      <c r="A65" s="87"/>
      <c r="B65" s="87"/>
      <c r="C65" s="36"/>
      <c r="D65" s="64"/>
      <c r="E65" s="200"/>
      <c r="F65" s="36"/>
      <c r="I65" s="159"/>
      <c r="L65" s="200"/>
      <c r="M65" s="34"/>
      <c r="O65" s="200"/>
      <c r="P65" s="64"/>
      <c r="Q65" s="64"/>
      <c r="R65" s="64"/>
      <c r="T65" s="109"/>
      <c r="U65" s="109"/>
      <c r="V65" s="109"/>
      <c r="W65" s="109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</row>
    <row r="66" spans="1:48" ht="18">
      <c r="A66" s="87"/>
      <c r="B66" s="87"/>
      <c r="C66" s="36"/>
      <c r="D66" s="64"/>
      <c r="E66" s="200"/>
      <c r="F66" s="87"/>
      <c r="I66" s="159"/>
      <c r="L66" s="200"/>
      <c r="M66" s="34"/>
      <c r="O66" s="200"/>
      <c r="P66" s="64"/>
      <c r="Q66" s="64"/>
      <c r="R66" s="64"/>
      <c r="T66" s="109"/>
      <c r="U66" s="109"/>
      <c r="V66" s="109"/>
      <c r="W66" s="109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</row>
    <row r="67" spans="1:19" ht="26.25" customHeight="1">
      <c r="A67" s="88"/>
      <c r="B67" s="88"/>
      <c r="C67" s="36"/>
      <c r="D67" s="64"/>
      <c r="E67" s="200"/>
      <c r="F67" s="87"/>
      <c r="I67" s="159"/>
      <c r="L67" s="200"/>
      <c r="M67" s="36"/>
      <c r="O67" s="200"/>
      <c r="P67" s="64"/>
      <c r="Q67" s="64"/>
      <c r="R67" s="64"/>
      <c r="S67" s="6"/>
    </row>
    <row r="68" spans="1:19" ht="26.25" customHeight="1">
      <c r="A68" s="88"/>
      <c r="B68" s="88"/>
      <c r="C68" s="36"/>
      <c r="D68" s="64"/>
      <c r="E68" s="200"/>
      <c r="F68" s="87"/>
      <c r="I68" s="159"/>
      <c r="L68" s="200"/>
      <c r="M68" s="36"/>
      <c r="O68" s="200"/>
      <c r="P68" s="38"/>
      <c r="Q68" s="4"/>
      <c r="R68" s="6"/>
      <c r="S68" s="6"/>
    </row>
    <row r="69" spans="1:23" ht="26.25" customHeight="1">
      <c r="A69" s="87"/>
      <c r="B69" s="87"/>
      <c r="C69" s="36"/>
      <c r="D69" s="88"/>
      <c r="E69" s="200"/>
      <c r="F69" s="88"/>
      <c r="I69" s="159"/>
      <c r="L69" s="200"/>
      <c r="M69" s="36"/>
      <c r="O69" s="200"/>
      <c r="P69" s="4"/>
      <c r="Q69" s="6"/>
      <c r="R69" s="6"/>
      <c r="S69" s="6"/>
      <c r="T69" s="109"/>
      <c r="U69" s="109"/>
      <c r="V69" s="109"/>
      <c r="W69" s="109"/>
    </row>
    <row r="70" spans="1:23" ht="26.25" customHeight="1">
      <c r="A70" s="89"/>
      <c r="B70" s="89"/>
      <c r="C70" s="36"/>
      <c r="D70" s="88"/>
      <c r="E70" s="200"/>
      <c r="F70" s="88"/>
      <c r="I70" s="159"/>
      <c r="L70" s="200"/>
      <c r="M70" s="36"/>
      <c r="O70" s="200"/>
      <c r="P70" s="4"/>
      <c r="Q70" s="6"/>
      <c r="R70" s="6"/>
      <c r="S70" s="6"/>
      <c r="T70" s="109"/>
      <c r="U70" s="109"/>
      <c r="V70" s="109"/>
      <c r="W70" s="109"/>
    </row>
    <row r="71" spans="1:23" ht="12.75" customHeight="1">
      <c r="A71" s="89"/>
      <c r="B71" s="89"/>
      <c r="C71" s="36"/>
      <c r="D71" s="88"/>
      <c r="E71" s="200"/>
      <c r="F71" s="87"/>
      <c r="I71" s="159"/>
      <c r="L71" s="200"/>
      <c r="M71" s="36"/>
      <c r="O71" s="200"/>
      <c r="P71" s="4"/>
      <c r="Q71" s="6"/>
      <c r="R71" s="6"/>
      <c r="S71" s="6"/>
      <c r="T71" s="109"/>
      <c r="U71" s="109"/>
      <c r="V71" s="109"/>
      <c r="W71" s="109"/>
    </row>
    <row r="72" spans="1:23" ht="12.75" customHeight="1">
      <c r="A72" s="87"/>
      <c r="B72" s="87"/>
      <c r="C72" s="42"/>
      <c r="D72" s="88"/>
      <c r="E72" s="200"/>
      <c r="F72" s="89"/>
      <c r="I72" s="159"/>
      <c r="L72" s="200"/>
      <c r="M72" s="42"/>
      <c r="O72" s="200"/>
      <c r="P72" s="4"/>
      <c r="Q72" s="6"/>
      <c r="R72" s="6"/>
      <c r="S72" s="6"/>
      <c r="T72" s="109"/>
      <c r="U72" s="109"/>
      <c r="V72" s="109"/>
      <c r="W72" s="109"/>
    </row>
    <row r="73" spans="1:19" ht="12.75">
      <c r="A73" s="87"/>
      <c r="B73" s="87"/>
      <c r="C73" s="36"/>
      <c r="D73" s="88"/>
      <c r="E73" s="200"/>
      <c r="F73" s="89"/>
      <c r="I73" s="159"/>
      <c r="L73" s="200"/>
      <c r="M73" s="42"/>
      <c r="O73" s="200"/>
      <c r="P73" s="4"/>
      <c r="Q73" s="6"/>
      <c r="R73" s="6"/>
      <c r="S73" s="6"/>
    </row>
    <row r="74" spans="1:19" ht="12.75" customHeight="1">
      <c r="A74" s="87"/>
      <c r="B74" s="87"/>
      <c r="C74" s="36"/>
      <c r="D74" s="88"/>
      <c r="E74" s="200"/>
      <c r="F74" s="87"/>
      <c r="I74" s="159"/>
      <c r="L74" s="200"/>
      <c r="M74" s="36"/>
      <c r="O74" s="200"/>
      <c r="P74" s="38"/>
      <c r="Q74" s="4"/>
      <c r="R74" s="6"/>
      <c r="S74" s="6"/>
    </row>
    <row r="75" spans="1:23" ht="12.75" customHeight="1">
      <c r="A75" s="87"/>
      <c r="B75" s="87"/>
      <c r="C75" s="36"/>
      <c r="D75" s="88"/>
      <c r="E75" s="200"/>
      <c r="F75" s="87"/>
      <c r="I75" s="159"/>
      <c r="L75" s="200"/>
      <c r="M75" s="36"/>
      <c r="O75" s="200"/>
      <c r="P75" s="4"/>
      <c r="Q75" s="6"/>
      <c r="R75" s="6"/>
      <c r="S75" s="6"/>
      <c r="T75" s="109"/>
      <c r="U75" s="109"/>
      <c r="V75" s="109"/>
      <c r="W75" s="109"/>
    </row>
    <row r="76" spans="1:23" ht="12.75" customHeight="1">
      <c r="A76" s="87"/>
      <c r="B76" s="87"/>
      <c r="C76" s="36"/>
      <c r="D76" s="88"/>
      <c r="E76" s="200"/>
      <c r="F76" s="87"/>
      <c r="I76" s="159"/>
      <c r="L76" s="200"/>
      <c r="M76" s="42"/>
      <c r="O76" s="200"/>
      <c r="P76" s="4"/>
      <c r="Q76" s="6"/>
      <c r="R76" s="6"/>
      <c r="S76" s="6"/>
      <c r="T76" s="109"/>
      <c r="U76" s="109"/>
      <c r="V76" s="109"/>
      <c r="W76" s="109"/>
    </row>
    <row r="77" spans="1:23" ht="12.75" customHeight="1">
      <c r="A77" s="87"/>
      <c r="B77" s="87"/>
      <c r="C77" s="36"/>
      <c r="D77" s="88"/>
      <c r="E77" s="200"/>
      <c r="F77" s="87"/>
      <c r="I77" s="159"/>
      <c r="L77" s="200"/>
      <c r="M77" s="36"/>
      <c r="O77" s="200"/>
      <c r="P77" s="4"/>
      <c r="Q77" s="6"/>
      <c r="R77" s="6"/>
      <c r="S77" s="6"/>
      <c r="T77" s="109"/>
      <c r="U77" s="109"/>
      <c r="V77" s="109"/>
      <c r="W77" s="109"/>
    </row>
    <row r="78" spans="1:23" ht="12.75" customHeight="1">
      <c r="A78" s="43"/>
      <c r="B78" s="43"/>
      <c r="C78" s="36"/>
      <c r="D78" s="88"/>
      <c r="E78" s="200"/>
      <c r="F78" s="87"/>
      <c r="I78" s="159"/>
      <c r="L78" s="200"/>
      <c r="M78" s="36"/>
      <c r="O78" s="200"/>
      <c r="P78" s="4"/>
      <c r="Q78" s="6"/>
      <c r="R78" s="6"/>
      <c r="S78" s="6"/>
      <c r="T78" s="109"/>
      <c r="U78" s="109"/>
      <c r="V78" s="109"/>
      <c r="W78" s="109"/>
    </row>
    <row r="79" spans="1:19" ht="12.75">
      <c r="A79" s="43"/>
      <c r="B79" s="43"/>
      <c r="C79" s="36"/>
      <c r="D79" s="88"/>
      <c r="E79" s="200"/>
      <c r="F79" s="87"/>
      <c r="I79" s="159"/>
      <c r="L79" s="200"/>
      <c r="M79" s="36"/>
      <c r="O79" s="200"/>
      <c r="P79" s="38"/>
      <c r="Q79" s="4"/>
      <c r="R79" s="6"/>
      <c r="S79" s="6"/>
    </row>
    <row r="80" spans="1:19" ht="12.75" customHeight="1">
      <c r="A80" s="43"/>
      <c r="B80" s="43"/>
      <c r="C80" s="36"/>
      <c r="D80" s="88"/>
      <c r="E80" s="200"/>
      <c r="F80" s="46"/>
      <c r="I80" s="159"/>
      <c r="L80" s="200"/>
      <c r="M80" s="36"/>
      <c r="O80" s="200"/>
      <c r="P80" s="38"/>
      <c r="Q80" s="4"/>
      <c r="R80" s="6"/>
      <c r="S80" s="6"/>
    </row>
    <row r="81" spans="1:23" ht="12.75" customHeight="1">
      <c r="A81" s="43"/>
      <c r="B81" s="43"/>
      <c r="C81" s="36"/>
      <c r="D81" s="88"/>
      <c r="E81" s="200"/>
      <c r="F81" s="36"/>
      <c r="I81" s="159"/>
      <c r="L81" s="200"/>
      <c r="M81" s="36"/>
      <c r="O81" s="200"/>
      <c r="P81" s="4"/>
      <c r="Q81" s="6"/>
      <c r="R81" s="6"/>
      <c r="S81" s="6"/>
      <c r="T81" s="109"/>
      <c r="U81" s="109"/>
      <c r="V81" s="109"/>
      <c r="W81" s="109"/>
    </row>
    <row r="82" spans="1:23" ht="12.75" customHeight="1">
      <c r="A82" s="36"/>
      <c r="B82" s="36"/>
      <c r="C82" s="36"/>
      <c r="D82" s="88"/>
      <c r="E82" s="200"/>
      <c r="F82" s="36"/>
      <c r="I82" s="159"/>
      <c r="L82" s="200"/>
      <c r="M82" s="36"/>
      <c r="O82" s="200"/>
      <c r="P82" s="4"/>
      <c r="Q82" s="4"/>
      <c r="R82" s="4"/>
      <c r="T82" s="109"/>
      <c r="U82" s="109"/>
      <c r="V82" s="109"/>
      <c r="W82" s="109"/>
    </row>
    <row r="83" spans="1:23" ht="12.75" customHeight="1">
      <c r="A83" s="36"/>
      <c r="B83" s="36"/>
      <c r="C83" s="36"/>
      <c r="D83" s="88"/>
      <c r="E83" s="200"/>
      <c r="F83" s="36"/>
      <c r="I83" s="159"/>
      <c r="L83" s="200"/>
      <c r="M83" s="36"/>
      <c r="O83" s="200"/>
      <c r="P83" s="4"/>
      <c r="Q83" s="4"/>
      <c r="R83" s="4"/>
      <c r="T83" s="109"/>
      <c r="U83" s="109"/>
      <c r="V83" s="109"/>
      <c r="W83" s="109"/>
    </row>
    <row r="84" spans="1:23" ht="12.75" customHeight="1">
      <c r="A84" s="36"/>
      <c r="B84" s="36"/>
      <c r="C84" s="36"/>
      <c r="D84" s="88"/>
      <c r="E84" s="200"/>
      <c r="F84" s="36"/>
      <c r="I84" s="159"/>
      <c r="L84" s="200"/>
      <c r="M84" s="36"/>
      <c r="O84" s="200"/>
      <c r="P84" s="4"/>
      <c r="Q84" s="4"/>
      <c r="R84" s="4"/>
      <c r="T84" s="109"/>
      <c r="U84" s="109"/>
      <c r="V84" s="109"/>
      <c r="W84" s="109"/>
    </row>
    <row r="85" spans="1:19" ht="12.75">
      <c r="A85" s="46"/>
      <c r="B85" s="46"/>
      <c r="C85" s="36"/>
      <c r="D85" s="88"/>
      <c r="E85" s="200"/>
      <c r="F85" s="36"/>
      <c r="I85" s="159"/>
      <c r="L85" s="200"/>
      <c r="M85" s="36"/>
      <c r="O85" s="200"/>
      <c r="R85" s="5"/>
      <c r="S85" s="6"/>
    </row>
    <row r="86" spans="1:61" s="6" customFormat="1" ht="12.75" customHeight="1">
      <c r="A86" s="46"/>
      <c r="B86" s="46"/>
      <c r="C86" s="36"/>
      <c r="D86" s="88"/>
      <c r="E86" s="200"/>
      <c r="F86" s="36"/>
      <c r="G86" s="4"/>
      <c r="H86" s="4"/>
      <c r="I86" s="159"/>
      <c r="K86" s="5"/>
      <c r="L86" s="200"/>
      <c r="M86" s="36"/>
      <c r="N86" s="5"/>
      <c r="O86" s="200"/>
      <c r="P86" s="5"/>
      <c r="Q86" s="5"/>
      <c r="R86" s="5"/>
      <c r="T86" s="4"/>
      <c r="U86" s="4"/>
      <c r="V86" s="4"/>
      <c r="W86" s="4"/>
      <c r="X86" s="4"/>
      <c r="Y86" s="4"/>
      <c r="Z86" s="4"/>
      <c r="AA86" s="4"/>
      <c r="AB86" s="4"/>
      <c r="AC86" s="36"/>
      <c r="AD86" s="36"/>
      <c r="AE86" s="36"/>
      <c r="AF86" s="36"/>
      <c r="AG86" s="36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1:19" ht="12.75" customHeight="1">
      <c r="A87" s="63"/>
      <c r="B87" s="63"/>
      <c r="C87" s="36"/>
      <c r="D87" s="88"/>
      <c r="E87" s="200"/>
      <c r="F87" s="36"/>
      <c r="I87" s="159"/>
      <c r="L87" s="200"/>
      <c r="M87" s="36"/>
      <c r="O87" s="200"/>
      <c r="R87" s="5"/>
      <c r="S87" s="6"/>
    </row>
    <row r="88" spans="1:18" ht="12.75" customHeight="1">
      <c r="A88" s="87"/>
      <c r="B88" s="87"/>
      <c r="C88" s="36"/>
      <c r="D88" s="88"/>
      <c r="E88" s="200"/>
      <c r="F88" s="36"/>
      <c r="I88" s="159"/>
      <c r="L88" s="200"/>
      <c r="M88" s="36"/>
      <c r="O88" s="200"/>
      <c r="R88" s="5"/>
    </row>
    <row r="89" spans="1:18" ht="12.75" customHeight="1">
      <c r="A89" s="87"/>
      <c r="B89" s="87"/>
      <c r="C89" s="36"/>
      <c r="D89" s="88"/>
      <c r="E89" s="200"/>
      <c r="F89" s="36"/>
      <c r="I89" s="159"/>
      <c r="L89" s="200"/>
      <c r="M89" s="36"/>
      <c r="O89" s="200"/>
      <c r="R89" s="5"/>
    </row>
    <row r="90" spans="1:62" s="36" customFormat="1" ht="27" customHeight="1">
      <c r="A90" s="87"/>
      <c r="B90" s="87"/>
      <c r="D90" s="88"/>
      <c r="E90" s="200"/>
      <c r="F90" s="87"/>
      <c r="G90" s="4"/>
      <c r="H90" s="4"/>
      <c r="I90" s="159"/>
      <c r="K90" s="5"/>
      <c r="L90" s="200"/>
      <c r="N90" s="5"/>
      <c r="O90" s="200"/>
      <c r="P90" s="34"/>
      <c r="Q90" s="34"/>
      <c r="R90" s="34"/>
      <c r="T90" s="27"/>
      <c r="U90" s="27"/>
      <c r="V90" s="27"/>
      <c r="W90" s="27"/>
      <c r="X90" s="27"/>
      <c r="Y90" s="27"/>
      <c r="Z90" s="27"/>
      <c r="AA90" s="27"/>
      <c r="AB90" s="27"/>
      <c r="BJ90" s="4"/>
    </row>
    <row r="91" spans="1:62" s="36" customFormat="1" ht="12.75">
      <c r="A91" s="88"/>
      <c r="B91" s="88"/>
      <c r="D91" s="88"/>
      <c r="E91" s="200"/>
      <c r="F91" s="87"/>
      <c r="G91" s="4"/>
      <c r="H91" s="4"/>
      <c r="I91" s="159"/>
      <c r="K91" s="5"/>
      <c r="L91" s="200"/>
      <c r="N91" s="5"/>
      <c r="O91" s="200"/>
      <c r="P91" s="34"/>
      <c r="Q91" s="34"/>
      <c r="R91" s="34"/>
      <c r="BJ91" s="4"/>
    </row>
    <row r="92" spans="1:62" s="36" customFormat="1" ht="12.75">
      <c r="A92" s="87"/>
      <c r="B92" s="87"/>
      <c r="D92" s="87"/>
      <c r="F92" s="87"/>
      <c r="K92" s="5"/>
      <c r="L92" s="200"/>
      <c r="N92" s="5"/>
      <c r="O92" s="200"/>
      <c r="P92" s="34"/>
      <c r="Q92" s="34"/>
      <c r="R92" s="34"/>
      <c r="BJ92" s="4"/>
    </row>
    <row r="93" spans="1:62" s="36" customFormat="1" ht="12.75">
      <c r="A93" s="89"/>
      <c r="B93" s="89"/>
      <c r="D93" s="88"/>
      <c r="F93" s="88"/>
      <c r="K93" s="5"/>
      <c r="L93" s="200"/>
      <c r="N93" s="5"/>
      <c r="O93" s="200"/>
      <c r="BJ93" s="4"/>
    </row>
    <row r="94" spans="1:62" s="36" customFormat="1" ht="12.75">
      <c r="A94" s="89"/>
      <c r="B94" s="89"/>
      <c r="D94" s="88"/>
      <c r="E94" s="42"/>
      <c r="F94" s="87"/>
      <c r="K94" s="5"/>
      <c r="L94" s="200"/>
      <c r="N94" s="5"/>
      <c r="O94" s="200"/>
      <c r="S94" s="27"/>
      <c r="BJ94" s="4"/>
    </row>
    <row r="95" spans="1:62" s="36" customFormat="1" ht="39.75" customHeight="1">
      <c r="A95" s="87"/>
      <c r="B95" s="87"/>
      <c r="D95" s="87"/>
      <c r="E95" s="42"/>
      <c r="F95" s="89"/>
      <c r="K95" s="5"/>
      <c r="L95" s="200"/>
      <c r="N95" s="5"/>
      <c r="O95" s="200"/>
      <c r="S95" s="27"/>
      <c r="AC95" s="91"/>
      <c r="AD95" s="91"/>
      <c r="AE95" s="91"/>
      <c r="AF95" s="91"/>
      <c r="AG95" s="91"/>
      <c r="BJ95" s="4"/>
    </row>
    <row r="96" spans="1:62" s="36" customFormat="1" ht="32.25" customHeight="1">
      <c r="A96" s="87"/>
      <c r="B96" s="87"/>
      <c r="D96" s="89"/>
      <c r="E96" s="42"/>
      <c r="F96" s="89"/>
      <c r="K96" s="5"/>
      <c r="L96" s="200"/>
      <c r="M96" s="42"/>
      <c r="N96" s="5"/>
      <c r="O96" s="200"/>
      <c r="S96" s="27"/>
      <c r="BJ96" s="4"/>
    </row>
    <row r="97" spans="1:62" s="36" customFormat="1" ht="12.75">
      <c r="A97" s="87"/>
      <c r="B97" s="87"/>
      <c r="D97" s="89"/>
      <c r="E97" s="42"/>
      <c r="F97" s="87"/>
      <c r="K97" s="5"/>
      <c r="L97" s="200"/>
      <c r="M97" s="42"/>
      <c r="N97" s="5"/>
      <c r="O97" s="200"/>
      <c r="S97" s="27"/>
      <c r="BJ97" s="4"/>
    </row>
    <row r="98" spans="1:62" s="36" customFormat="1" ht="12.75">
      <c r="A98" s="87"/>
      <c r="B98" s="87"/>
      <c r="C98" s="42"/>
      <c r="D98" s="87"/>
      <c r="E98" s="42"/>
      <c r="F98" s="87"/>
      <c r="K98" s="5"/>
      <c r="L98" s="200"/>
      <c r="M98" s="42"/>
      <c r="N98" s="5"/>
      <c r="O98" s="200"/>
      <c r="S98" s="27"/>
      <c r="BJ98" s="4"/>
    </row>
    <row r="99" spans="1:62" s="36" customFormat="1" ht="12.75">
      <c r="A99" s="87"/>
      <c r="B99" s="87"/>
      <c r="C99" s="42"/>
      <c r="D99" s="87"/>
      <c r="E99" s="42"/>
      <c r="F99" s="87"/>
      <c r="K99" s="5"/>
      <c r="L99" s="200"/>
      <c r="M99" s="42"/>
      <c r="N99" s="5"/>
      <c r="O99" s="200"/>
      <c r="S99" s="27"/>
      <c r="BJ99" s="4"/>
    </row>
    <row r="100" spans="1:62" s="36" customFormat="1" ht="12.75">
      <c r="A100" s="87"/>
      <c r="B100" s="87"/>
      <c r="C100" s="42"/>
      <c r="D100" s="87"/>
      <c r="E100" s="42"/>
      <c r="F100" s="87"/>
      <c r="K100" s="5"/>
      <c r="L100" s="200"/>
      <c r="M100" s="42"/>
      <c r="N100" s="5"/>
      <c r="O100" s="200"/>
      <c r="S100" s="27"/>
      <c r="BJ100" s="4"/>
    </row>
    <row r="101" spans="1:62" s="36" customFormat="1" ht="12.75">
      <c r="A101" s="43"/>
      <c r="B101" s="43"/>
      <c r="C101" s="42"/>
      <c r="D101" s="87"/>
      <c r="E101" s="42"/>
      <c r="F101" s="87"/>
      <c r="K101" s="90"/>
      <c r="L101" s="200"/>
      <c r="M101" s="42"/>
      <c r="N101" s="90"/>
      <c r="O101" s="158"/>
      <c r="S101" s="27"/>
      <c r="BJ101" s="4"/>
    </row>
    <row r="102" spans="1:28" ht="12.75">
      <c r="A102" s="43"/>
      <c r="B102" s="43"/>
      <c r="C102" s="42"/>
      <c r="D102" s="87"/>
      <c r="E102" s="42"/>
      <c r="F102" s="87"/>
      <c r="G102" s="42"/>
      <c r="H102" s="42"/>
      <c r="I102" s="42"/>
      <c r="J102" s="42"/>
      <c r="K102" s="42"/>
      <c r="L102" s="87"/>
      <c r="M102" s="42"/>
      <c r="N102" s="87"/>
      <c r="O102" s="27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12.75">
      <c r="A103" s="36"/>
      <c r="B103" s="36"/>
      <c r="C103" s="42"/>
      <c r="D103" s="87"/>
      <c r="E103" s="42"/>
      <c r="F103" s="36"/>
      <c r="G103" s="42"/>
      <c r="H103" s="42"/>
      <c r="I103" s="42"/>
      <c r="J103" s="42"/>
      <c r="K103" s="42"/>
      <c r="L103" s="36"/>
      <c r="M103" s="42"/>
      <c r="N103" s="87"/>
      <c r="O103" s="27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12.75">
      <c r="A104" s="36"/>
      <c r="B104" s="36"/>
      <c r="C104" s="42"/>
      <c r="D104" s="46"/>
      <c r="E104" s="42"/>
      <c r="F104" s="36"/>
      <c r="G104" s="42"/>
      <c r="H104" s="42"/>
      <c r="I104" s="42"/>
      <c r="J104" s="42"/>
      <c r="K104" s="42"/>
      <c r="L104" s="36"/>
      <c r="M104" s="42"/>
      <c r="N104" s="87"/>
      <c r="O104" s="42"/>
      <c r="P104" s="36"/>
      <c r="Q104" s="36"/>
      <c r="R104" s="36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2.75">
      <c r="A105" s="36"/>
      <c r="B105" s="36"/>
      <c r="C105" s="42"/>
      <c r="D105" s="36"/>
      <c r="E105" s="42"/>
      <c r="F105" s="36"/>
      <c r="G105" s="42"/>
      <c r="H105" s="42"/>
      <c r="I105" s="42"/>
      <c r="J105" s="42"/>
      <c r="K105" s="42"/>
      <c r="L105" s="36"/>
      <c r="M105" s="42"/>
      <c r="N105" s="87"/>
      <c r="O105" s="27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12.75" customHeight="1">
      <c r="A106" s="46"/>
      <c r="B106" s="46"/>
      <c r="C106" s="42"/>
      <c r="D106" s="36"/>
      <c r="E106" s="42"/>
      <c r="F106" s="36"/>
      <c r="G106" s="42"/>
      <c r="H106" s="42"/>
      <c r="I106" s="42"/>
      <c r="J106" s="42"/>
      <c r="K106" s="42"/>
      <c r="L106" s="36"/>
      <c r="M106" s="42"/>
      <c r="N106" s="87"/>
      <c r="O106" s="27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ht="12.75">
      <c r="A107" s="46"/>
      <c r="B107" s="46"/>
      <c r="C107" s="42"/>
      <c r="D107" s="36"/>
      <c r="E107" s="42"/>
      <c r="F107" s="36"/>
      <c r="G107" s="42"/>
      <c r="H107" s="42"/>
      <c r="I107" s="42"/>
      <c r="J107" s="42"/>
      <c r="K107" s="42"/>
      <c r="L107" s="36"/>
      <c r="M107" s="42"/>
      <c r="N107" s="36"/>
      <c r="O107" s="27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2.75">
      <c r="A108" s="36"/>
      <c r="B108" s="36"/>
      <c r="C108" s="42"/>
      <c r="D108" s="36"/>
      <c r="E108" s="42"/>
      <c r="F108" s="36"/>
      <c r="G108" s="42"/>
      <c r="H108" s="42"/>
      <c r="I108" s="42"/>
      <c r="J108" s="42"/>
      <c r="K108" s="42"/>
      <c r="L108" s="36"/>
      <c r="M108" s="42"/>
      <c r="N108" s="36"/>
      <c r="O108" s="27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s="27" customFormat="1" ht="12.75">
      <c r="A109" s="87"/>
      <c r="B109" s="87"/>
      <c r="C109" s="42"/>
      <c r="D109" s="36"/>
      <c r="E109" s="42"/>
      <c r="F109" s="36"/>
      <c r="G109" s="42"/>
      <c r="H109" s="42"/>
      <c r="I109" s="42"/>
      <c r="J109" s="42"/>
      <c r="K109" s="42"/>
      <c r="L109" s="36"/>
      <c r="M109" s="42"/>
      <c r="N109" s="42"/>
      <c r="O109" s="34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2.75">
      <c r="A110" s="87"/>
      <c r="B110" s="87"/>
      <c r="C110" s="34"/>
      <c r="D110" s="36"/>
      <c r="E110" s="42"/>
      <c r="F110" s="42"/>
      <c r="G110" s="42"/>
      <c r="H110" s="42"/>
      <c r="I110" s="42"/>
      <c r="J110" s="42"/>
      <c r="K110" s="42"/>
      <c r="L110" s="42"/>
      <c r="M110" s="42"/>
      <c r="N110" s="35"/>
      <c r="O110" s="34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2.75" customHeight="1">
      <c r="A111" s="87"/>
      <c r="B111" s="87"/>
      <c r="C111" s="36"/>
      <c r="D111" s="87"/>
      <c r="E111" s="42"/>
      <c r="F111" s="87"/>
      <c r="G111" s="42"/>
      <c r="H111" s="42"/>
      <c r="I111" s="42"/>
      <c r="J111" s="42"/>
      <c r="K111" s="42"/>
      <c r="L111" s="87"/>
      <c r="M111" s="42"/>
      <c r="N111" s="87"/>
      <c r="O111" s="3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42.75" customHeight="1">
      <c r="A112" s="88"/>
      <c r="B112" s="88"/>
      <c r="C112" s="36"/>
      <c r="D112" s="87"/>
      <c r="E112" s="42"/>
      <c r="F112" s="87"/>
      <c r="G112" s="42"/>
      <c r="H112" s="42"/>
      <c r="I112" s="42"/>
      <c r="J112" s="42"/>
      <c r="K112" s="42"/>
      <c r="L112" s="87"/>
      <c r="M112" s="42"/>
      <c r="N112" s="87"/>
      <c r="O112" s="3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2.75">
      <c r="A113" s="88"/>
      <c r="B113" s="88"/>
      <c r="C113" s="42"/>
      <c r="D113" s="87"/>
      <c r="E113" s="42"/>
      <c r="F113" s="87"/>
      <c r="G113" s="42"/>
      <c r="H113" s="42"/>
      <c r="I113" s="42"/>
      <c r="J113" s="42"/>
      <c r="K113" s="42"/>
      <c r="L113" s="87"/>
      <c r="M113" s="42"/>
      <c r="N113" s="87"/>
      <c r="O113" s="3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12.75">
      <c r="A114" s="87"/>
      <c r="B114" s="87"/>
      <c r="C114" s="42"/>
      <c r="D114" s="88"/>
      <c r="E114" s="42"/>
      <c r="F114" s="88"/>
      <c r="G114" s="42"/>
      <c r="H114" s="42"/>
      <c r="I114" s="36"/>
      <c r="J114" s="36"/>
      <c r="K114" s="36"/>
      <c r="L114" s="88"/>
      <c r="M114" s="42"/>
      <c r="N114" s="88"/>
      <c r="O114" s="3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2.75">
      <c r="A115" s="89"/>
      <c r="B115" s="89"/>
      <c r="C115" s="42"/>
      <c r="D115" s="88"/>
      <c r="E115" s="42"/>
      <c r="F115" s="88"/>
      <c r="G115" s="42"/>
      <c r="H115" s="42"/>
      <c r="I115" s="36"/>
      <c r="J115" s="36"/>
      <c r="K115" s="36"/>
      <c r="L115" s="88"/>
      <c r="M115" s="42"/>
      <c r="N115" s="88"/>
      <c r="O115" s="3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2.75">
      <c r="A116" s="87"/>
      <c r="B116" s="87"/>
      <c r="C116" s="42"/>
      <c r="D116" s="87"/>
      <c r="E116" s="42"/>
      <c r="F116" s="87"/>
      <c r="G116" s="42"/>
      <c r="H116" s="42"/>
      <c r="I116" s="36"/>
      <c r="J116" s="36"/>
      <c r="K116" s="36"/>
      <c r="L116" s="87"/>
      <c r="M116" s="34"/>
      <c r="N116" s="87"/>
      <c r="O116" s="3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2.75">
      <c r="A117" s="87"/>
      <c r="B117" s="87"/>
      <c r="C117" s="42"/>
      <c r="D117" s="89"/>
      <c r="E117" s="42"/>
      <c r="F117" s="89"/>
      <c r="G117" s="42"/>
      <c r="H117" s="42"/>
      <c r="I117" s="36"/>
      <c r="J117" s="36"/>
      <c r="K117" s="36"/>
      <c r="L117" s="89"/>
      <c r="M117" s="34"/>
      <c r="N117" s="89"/>
      <c r="O117" s="3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62" s="36" customFormat="1" ht="12.75">
      <c r="A118" s="87"/>
      <c r="B118" s="87"/>
      <c r="C118" s="42"/>
      <c r="D118" s="87"/>
      <c r="F118" s="89"/>
      <c r="G118" s="42"/>
      <c r="H118" s="42"/>
      <c r="L118" s="89"/>
      <c r="M118" s="34"/>
      <c r="N118" s="89"/>
      <c r="O118" s="34"/>
      <c r="BJ118" s="4"/>
    </row>
    <row r="119" spans="1:62" s="36" customFormat="1" ht="12.75">
      <c r="A119" s="87"/>
      <c r="B119" s="87"/>
      <c r="C119" s="42"/>
      <c r="D119" s="87"/>
      <c r="F119" s="87"/>
      <c r="G119" s="42"/>
      <c r="H119" s="42"/>
      <c r="L119" s="87"/>
      <c r="M119" s="34"/>
      <c r="N119" s="87"/>
      <c r="O119" s="34"/>
      <c r="BJ119" s="4"/>
    </row>
    <row r="120" spans="1:62" s="36" customFormat="1" ht="12.75">
      <c r="A120" s="87"/>
      <c r="B120" s="87"/>
      <c r="C120" s="42"/>
      <c r="D120" s="87"/>
      <c r="F120" s="87"/>
      <c r="G120" s="42"/>
      <c r="H120" s="42"/>
      <c r="L120" s="87"/>
      <c r="M120" s="34"/>
      <c r="N120" s="87"/>
      <c r="O120" s="27"/>
      <c r="BJ120" s="4"/>
    </row>
    <row r="121" spans="1:62" s="36" customFormat="1" ht="12.75">
      <c r="A121" s="87"/>
      <c r="B121" s="87"/>
      <c r="C121" s="42"/>
      <c r="D121" s="87"/>
      <c r="F121" s="87"/>
      <c r="L121" s="87"/>
      <c r="M121" s="34"/>
      <c r="N121" s="87"/>
      <c r="O121" s="27"/>
      <c r="BJ121" s="4"/>
    </row>
    <row r="122" spans="1:62" s="36" customFormat="1" ht="12.75">
      <c r="A122" s="43"/>
      <c r="B122" s="43"/>
      <c r="C122" s="42"/>
      <c r="D122" s="87"/>
      <c r="F122" s="87"/>
      <c r="L122" s="87"/>
      <c r="M122" s="34"/>
      <c r="N122" s="87"/>
      <c r="O122" s="34"/>
      <c r="BJ122" s="4"/>
    </row>
    <row r="123" spans="1:62" s="36" customFormat="1" ht="12.75">
      <c r="A123" s="43"/>
      <c r="B123" s="43"/>
      <c r="C123" s="42"/>
      <c r="D123" s="87"/>
      <c r="F123" s="87"/>
      <c r="L123" s="87"/>
      <c r="M123" s="34"/>
      <c r="N123" s="87"/>
      <c r="O123" s="34"/>
      <c r="BJ123" s="4"/>
    </row>
    <row r="124" spans="1:62" s="36" customFormat="1" ht="12.75">
      <c r="A124" s="88"/>
      <c r="B124" s="88"/>
      <c r="C124" s="42"/>
      <c r="D124" s="46"/>
      <c r="M124" s="34"/>
      <c r="O124" s="34"/>
      <c r="BJ124" s="4"/>
    </row>
    <row r="125" spans="1:62" s="36" customFormat="1" ht="12.75">
      <c r="A125" s="88"/>
      <c r="B125" s="88"/>
      <c r="C125" s="42"/>
      <c r="D125" s="46"/>
      <c r="M125" s="34"/>
      <c r="O125" s="42"/>
      <c r="P125" s="27"/>
      <c r="Q125" s="27"/>
      <c r="R125" s="27"/>
      <c r="BJ125" s="4"/>
    </row>
    <row r="126" spans="3:62" s="36" customFormat="1" ht="12.75">
      <c r="C126" s="42"/>
      <c r="D126" s="88"/>
      <c r="F126" s="27"/>
      <c r="G126" s="42"/>
      <c r="H126" s="42"/>
      <c r="I126" s="34"/>
      <c r="J126" s="34"/>
      <c r="K126" s="34"/>
      <c r="M126" s="34"/>
      <c r="O126" s="42"/>
      <c r="P126" s="27"/>
      <c r="Q126" s="27"/>
      <c r="R126" s="27"/>
      <c r="BJ126" s="4"/>
    </row>
    <row r="127" spans="1:62" s="36" customFormat="1" ht="12.75">
      <c r="A127" s="46"/>
      <c r="B127" s="46"/>
      <c r="C127" s="42"/>
      <c r="D127" s="88"/>
      <c r="G127" s="42"/>
      <c r="H127" s="42"/>
      <c r="I127" s="34"/>
      <c r="J127" s="34"/>
      <c r="K127" s="34"/>
      <c r="L127" s="27"/>
      <c r="M127" s="34"/>
      <c r="O127" s="42"/>
      <c r="P127" s="27"/>
      <c r="Q127" s="27"/>
      <c r="R127" s="27"/>
      <c r="BJ127" s="4"/>
    </row>
    <row r="128" spans="1:62" s="36" customFormat="1" ht="12.75">
      <c r="A128" s="46"/>
      <c r="B128" s="46"/>
      <c r="C128" s="42"/>
      <c r="F128" s="42"/>
      <c r="G128" s="42"/>
      <c r="H128" s="42"/>
      <c r="I128" s="34"/>
      <c r="J128" s="34"/>
      <c r="K128" s="34"/>
      <c r="M128" s="34"/>
      <c r="O128" s="42"/>
      <c r="P128" s="27"/>
      <c r="Q128" s="27"/>
      <c r="R128" s="27"/>
      <c r="BJ128" s="4"/>
    </row>
    <row r="129" spans="3:62" s="36" customFormat="1" ht="12.75">
      <c r="C129" s="42"/>
      <c r="G129" s="42"/>
      <c r="H129" s="42"/>
      <c r="I129" s="34"/>
      <c r="J129" s="34"/>
      <c r="K129" s="34"/>
      <c r="L129" s="42"/>
      <c r="M129" s="34"/>
      <c r="O129" s="42"/>
      <c r="P129" s="27"/>
      <c r="Q129" s="27"/>
      <c r="R129" s="27"/>
      <c r="BJ129" s="4"/>
    </row>
    <row r="130" spans="3:62" s="36" customFormat="1" ht="12.75">
      <c r="C130" s="42"/>
      <c r="G130" s="42"/>
      <c r="H130" s="42"/>
      <c r="I130" s="34"/>
      <c r="J130" s="34"/>
      <c r="K130" s="34"/>
      <c r="M130" s="34"/>
      <c r="N130" s="35"/>
      <c r="O130" s="42"/>
      <c r="P130" s="27"/>
      <c r="Q130" s="27"/>
      <c r="R130" s="27"/>
      <c r="BJ130" s="4"/>
    </row>
    <row r="131" spans="3:62" s="36" customFormat="1" ht="12.75">
      <c r="C131" s="42"/>
      <c r="I131" s="34"/>
      <c r="J131" s="34"/>
      <c r="K131" s="34"/>
      <c r="M131" s="34"/>
      <c r="N131" s="27"/>
      <c r="O131" s="42"/>
      <c r="P131" s="27"/>
      <c r="Q131" s="27"/>
      <c r="R131" s="27"/>
      <c r="BJ131" s="4"/>
    </row>
    <row r="132" spans="3:62" s="36" customFormat="1" ht="12.75">
      <c r="C132" s="42"/>
      <c r="I132" s="34"/>
      <c r="J132" s="34"/>
      <c r="K132" s="34"/>
      <c r="M132" s="34"/>
      <c r="N132" s="35"/>
      <c r="O132" s="42"/>
      <c r="P132" s="27"/>
      <c r="Q132" s="27"/>
      <c r="R132" s="27"/>
      <c r="BJ132" s="4"/>
    </row>
    <row r="133" spans="3:62" s="36" customFormat="1" ht="12.75">
      <c r="C133" s="42"/>
      <c r="D133" s="27"/>
      <c r="I133" s="34"/>
      <c r="J133" s="34"/>
      <c r="K133" s="34"/>
      <c r="M133" s="34"/>
      <c r="N133" s="42"/>
      <c r="O133" s="42"/>
      <c r="P133" s="27"/>
      <c r="Q133" s="27"/>
      <c r="R133" s="27"/>
      <c r="BJ133" s="4"/>
    </row>
    <row r="134" spans="1:28" ht="12.75">
      <c r="A134" s="36"/>
      <c r="B134" s="36"/>
      <c r="C134" s="42"/>
      <c r="D134" s="36"/>
      <c r="E134" s="36"/>
      <c r="F134" s="36"/>
      <c r="G134" s="36"/>
      <c r="H134" s="36"/>
      <c r="I134" s="34"/>
      <c r="J134" s="34"/>
      <c r="K134" s="34"/>
      <c r="L134" s="36"/>
      <c r="M134" s="34"/>
      <c r="N134" s="36"/>
      <c r="O134" s="42"/>
      <c r="P134" s="92"/>
      <c r="Q134" s="92"/>
      <c r="R134" s="92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ht="12.75">
      <c r="A135" s="36"/>
      <c r="B135" s="36"/>
      <c r="C135" s="36"/>
      <c r="D135" s="42"/>
      <c r="E135" s="36"/>
      <c r="F135" s="36"/>
      <c r="G135" s="36"/>
      <c r="H135" s="36"/>
      <c r="I135" s="34"/>
      <c r="J135" s="34"/>
      <c r="K135" s="34"/>
      <c r="L135" s="36"/>
      <c r="M135" s="34"/>
      <c r="N135" s="36"/>
      <c r="O135" s="42"/>
      <c r="P135" s="27"/>
      <c r="Q135" s="27"/>
      <c r="R135" s="27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ht="12.75">
      <c r="A136" s="27"/>
      <c r="B136" s="27"/>
      <c r="C136" s="36"/>
      <c r="D136" s="44"/>
      <c r="E136" s="36"/>
      <c r="F136" s="36"/>
      <c r="G136" s="36"/>
      <c r="H136" s="36"/>
      <c r="I136" s="34"/>
      <c r="J136" s="34"/>
      <c r="K136" s="34"/>
      <c r="L136" s="36"/>
      <c r="M136" s="34"/>
      <c r="N136" s="36"/>
      <c r="O136" s="92"/>
      <c r="P136" s="27"/>
      <c r="Q136" s="27"/>
      <c r="R136" s="27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12.75">
      <c r="A137" s="36"/>
      <c r="B137" s="36"/>
      <c r="C137" s="36"/>
      <c r="D137" s="45"/>
      <c r="E137" s="36"/>
      <c r="F137" s="36"/>
      <c r="G137" s="36"/>
      <c r="H137" s="36"/>
      <c r="I137" s="34"/>
      <c r="J137" s="34"/>
      <c r="K137" s="34"/>
      <c r="L137" s="36"/>
      <c r="M137" s="34"/>
      <c r="N137" s="36"/>
      <c r="O137" s="92"/>
      <c r="P137" s="27"/>
      <c r="Q137" s="27"/>
      <c r="R137" s="27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ht="12.75">
      <c r="A138" s="42"/>
      <c r="B138" s="42"/>
      <c r="C138" s="36"/>
      <c r="D138" s="45"/>
      <c r="E138" s="36"/>
      <c r="F138" s="36"/>
      <c r="G138" s="36"/>
      <c r="H138" s="36"/>
      <c r="I138" s="34"/>
      <c r="J138" s="34"/>
      <c r="K138" s="34"/>
      <c r="L138" s="36"/>
      <c r="M138" s="34"/>
      <c r="N138" s="36"/>
      <c r="O138" s="92"/>
      <c r="P138" s="27"/>
      <c r="Q138" s="27"/>
      <c r="R138" s="27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ht="12.75">
      <c r="A139" s="44"/>
      <c r="B139" s="44"/>
      <c r="C139" s="36"/>
      <c r="D139" s="45"/>
      <c r="E139" s="36"/>
      <c r="F139" s="36"/>
      <c r="G139" s="36"/>
      <c r="H139" s="36"/>
      <c r="I139" s="34"/>
      <c r="J139" s="34"/>
      <c r="K139" s="34"/>
      <c r="L139" s="36"/>
      <c r="M139" s="34"/>
      <c r="N139" s="36"/>
      <c r="O139" s="92"/>
      <c r="P139" s="27"/>
      <c r="Q139" s="27"/>
      <c r="R139" s="27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2.75">
      <c r="A140" s="45"/>
      <c r="B140" s="45"/>
      <c r="C140" s="36"/>
      <c r="D140" s="43"/>
      <c r="E140" s="36"/>
      <c r="F140" s="36"/>
      <c r="G140" s="36"/>
      <c r="H140" s="36"/>
      <c r="I140" s="34"/>
      <c r="J140" s="34"/>
      <c r="K140" s="34"/>
      <c r="L140" s="36"/>
      <c r="M140" s="34"/>
      <c r="N140" s="35"/>
      <c r="O140" s="92"/>
      <c r="P140" s="27"/>
      <c r="Q140" s="27"/>
      <c r="R140" s="27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2.75">
      <c r="A141" s="45"/>
      <c r="B141" s="45"/>
      <c r="C141" s="36"/>
      <c r="D141" s="43"/>
      <c r="E141" s="36"/>
      <c r="F141" s="36"/>
      <c r="G141" s="36"/>
      <c r="H141" s="36"/>
      <c r="I141" s="34"/>
      <c r="J141" s="34"/>
      <c r="K141" s="34"/>
      <c r="L141" s="36"/>
      <c r="M141" s="34"/>
      <c r="N141" s="35"/>
      <c r="O141" s="92"/>
      <c r="P141" s="43"/>
      <c r="Q141" s="27"/>
      <c r="R141" s="27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2.75">
      <c r="A142" s="45"/>
      <c r="B142" s="45"/>
      <c r="C142" s="36"/>
      <c r="D142" s="43"/>
      <c r="E142" s="36"/>
      <c r="F142" s="36"/>
      <c r="G142" s="36"/>
      <c r="H142" s="36"/>
      <c r="I142" s="34"/>
      <c r="J142" s="34"/>
      <c r="K142" s="34"/>
      <c r="L142" s="36"/>
      <c r="M142" s="34"/>
      <c r="N142" s="35"/>
      <c r="O142" s="92"/>
      <c r="P142" s="43"/>
      <c r="Q142" s="27"/>
      <c r="R142" s="27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2.75">
      <c r="A143" s="43"/>
      <c r="B143" s="43"/>
      <c r="C143" s="36"/>
      <c r="D143" s="43"/>
      <c r="E143" s="36"/>
      <c r="F143" s="36"/>
      <c r="G143" s="36"/>
      <c r="H143" s="36"/>
      <c r="I143" s="34"/>
      <c r="J143" s="34"/>
      <c r="K143" s="34"/>
      <c r="L143" s="36"/>
      <c r="M143" s="34"/>
      <c r="N143" s="35"/>
      <c r="O143" s="42"/>
      <c r="P143" s="46"/>
      <c r="Q143" s="27"/>
      <c r="R143" s="27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2.75">
      <c r="A144" s="43"/>
      <c r="B144" s="43"/>
      <c r="C144" s="36"/>
      <c r="D144" s="43"/>
      <c r="E144" s="36"/>
      <c r="F144" s="36"/>
      <c r="G144" s="36"/>
      <c r="H144" s="36"/>
      <c r="I144" s="34"/>
      <c r="J144" s="34"/>
      <c r="K144" s="34"/>
      <c r="L144" s="36"/>
      <c r="M144" s="34"/>
      <c r="N144" s="35"/>
      <c r="O144" s="42"/>
      <c r="P144" s="46"/>
      <c r="Q144" s="27"/>
      <c r="R144" s="27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2.75">
      <c r="A145" s="43"/>
      <c r="B145" s="43"/>
      <c r="C145" s="36"/>
      <c r="D145" s="43"/>
      <c r="E145" s="36"/>
      <c r="F145" s="36"/>
      <c r="G145" s="36"/>
      <c r="H145" s="36"/>
      <c r="I145" s="34"/>
      <c r="J145" s="34"/>
      <c r="K145" s="34"/>
      <c r="L145" s="36"/>
      <c r="M145" s="34"/>
      <c r="N145" s="35"/>
      <c r="O145" s="42"/>
      <c r="P145" s="43"/>
      <c r="Q145" s="27"/>
      <c r="R145" s="27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2.75">
      <c r="A146" s="43"/>
      <c r="B146" s="43"/>
      <c r="C146" s="36"/>
      <c r="D146" s="36"/>
      <c r="E146" s="36"/>
      <c r="F146" s="36"/>
      <c r="G146" s="36"/>
      <c r="H146" s="36"/>
      <c r="I146" s="34"/>
      <c r="J146" s="34"/>
      <c r="K146" s="34"/>
      <c r="L146" s="36"/>
      <c r="M146" s="34"/>
      <c r="N146" s="35"/>
      <c r="O146" s="90"/>
      <c r="P146" s="43"/>
      <c r="Q146" s="27"/>
      <c r="R146" s="27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2.75">
      <c r="A147" s="43"/>
      <c r="B147" s="43"/>
      <c r="C147" s="36"/>
      <c r="D147" s="36"/>
      <c r="E147" s="36"/>
      <c r="F147" s="36"/>
      <c r="G147" s="36"/>
      <c r="H147" s="36"/>
      <c r="I147" s="34"/>
      <c r="J147" s="34"/>
      <c r="K147" s="34"/>
      <c r="L147" s="36"/>
      <c r="M147" s="34"/>
      <c r="N147" s="35"/>
      <c r="O147" s="34"/>
      <c r="P147" s="43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2.75">
      <c r="A148" s="43"/>
      <c r="B148" s="43"/>
      <c r="C148" s="36"/>
      <c r="D148" s="36"/>
      <c r="E148" s="36"/>
      <c r="F148" s="36"/>
      <c r="G148" s="36"/>
      <c r="H148" s="36"/>
      <c r="I148" s="34"/>
      <c r="J148" s="34"/>
      <c r="K148" s="34"/>
      <c r="L148" s="36"/>
      <c r="M148" s="34"/>
      <c r="N148" s="35"/>
      <c r="O148" s="34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2.75">
      <c r="A149" s="36"/>
      <c r="B149" s="36"/>
      <c r="C149" s="36"/>
      <c r="D149" s="46"/>
      <c r="E149" s="36"/>
      <c r="F149" s="36"/>
      <c r="G149" s="36"/>
      <c r="H149" s="36"/>
      <c r="I149" s="34"/>
      <c r="J149" s="34"/>
      <c r="K149" s="34"/>
      <c r="L149" s="36"/>
      <c r="M149" s="34"/>
      <c r="N149" s="35"/>
      <c r="O149" s="34"/>
      <c r="P149" s="36"/>
      <c r="Q149" s="36"/>
      <c r="R149" s="36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</row>
    <row r="150" spans="1:28" ht="12.75">
      <c r="A150" s="36"/>
      <c r="B150" s="36"/>
      <c r="C150" s="36"/>
      <c r="D150" s="46"/>
      <c r="E150" s="36"/>
      <c r="F150" s="36"/>
      <c r="G150" s="36"/>
      <c r="H150" s="36"/>
      <c r="I150" s="34"/>
      <c r="J150" s="34"/>
      <c r="K150" s="34"/>
      <c r="L150" s="36"/>
      <c r="M150" s="34"/>
      <c r="N150" s="35"/>
      <c r="O150" s="3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2.75">
      <c r="A151" s="36"/>
      <c r="B151" s="36"/>
      <c r="C151" s="36"/>
      <c r="D151" s="36"/>
      <c r="E151" s="36"/>
      <c r="F151" s="36"/>
      <c r="G151" s="36"/>
      <c r="H151" s="36"/>
      <c r="I151" s="34"/>
      <c r="J151" s="34"/>
      <c r="K151" s="34"/>
      <c r="L151" s="36"/>
      <c r="M151" s="34"/>
      <c r="N151" s="35"/>
      <c r="O151" s="34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ht="12.75">
      <c r="A152" s="46"/>
      <c r="B152" s="46"/>
      <c r="C152" s="36"/>
      <c r="D152" s="36"/>
      <c r="E152" s="36"/>
      <c r="F152" s="36"/>
      <c r="G152" s="36"/>
      <c r="H152" s="36"/>
      <c r="I152" s="34"/>
      <c r="J152" s="34"/>
      <c r="K152" s="34"/>
      <c r="L152" s="36"/>
      <c r="M152" s="34"/>
      <c r="N152" s="35"/>
      <c r="O152" s="3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2.75">
      <c r="A153" s="46"/>
      <c r="B153" s="46"/>
      <c r="C153" s="36"/>
      <c r="D153" s="36"/>
      <c r="E153" s="36"/>
      <c r="F153" s="36"/>
      <c r="G153" s="36"/>
      <c r="H153" s="36"/>
      <c r="I153" s="34"/>
      <c r="J153" s="34"/>
      <c r="K153" s="34"/>
      <c r="L153" s="36"/>
      <c r="M153" s="34"/>
      <c r="N153" s="35"/>
      <c r="O153" s="3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s="42" customFormat="1" ht="12.75">
      <c r="A154" s="36"/>
      <c r="B154" s="36"/>
      <c r="C154" s="36"/>
      <c r="D154" s="36"/>
      <c r="E154" s="36"/>
      <c r="F154" s="36"/>
      <c r="G154" s="36"/>
      <c r="H154" s="36"/>
      <c r="I154" s="34"/>
      <c r="J154" s="34"/>
      <c r="K154" s="34"/>
      <c r="L154" s="36"/>
      <c r="M154" s="34"/>
      <c r="N154" s="34"/>
      <c r="O154" s="3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2.75">
      <c r="A155" s="36"/>
      <c r="B155" s="36"/>
      <c r="C155" s="36"/>
      <c r="D155" s="36"/>
      <c r="E155" s="36"/>
      <c r="F155" s="36"/>
      <c r="G155" s="36"/>
      <c r="H155" s="36"/>
      <c r="I155" s="34"/>
      <c r="J155" s="34"/>
      <c r="K155" s="34"/>
      <c r="L155" s="36"/>
      <c r="M155" s="34"/>
      <c r="N155" s="34"/>
      <c r="O155" s="34"/>
      <c r="P155" s="42"/>
      <c r="Q155" s="42"/>
      <c r="R155" s="42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ht="12.75">
      <c r="A156" s="36"/>
      <c r="B156" s="36"/>
      <c r="C156" s="36"/>
      <c r="D156" s="36"/>
      <c r="E156" s="36"/>
      <c r="F156" s="36"/>
      <c r="G156" s="36"/>
      <c r="H156" s="36"/>
      <c r="I156" s="34"/>
      <c r="J156" s="34"/>
      <c r="K156" s="34"/>
      <c r="L156" s="36"/>
      <c r="M156" s="34"/>
      <c r="N156" s="34"/>
      <c r="O156" s="34"/>
      <c r="P156" s="42"/>
      <c r="Q156" s="42"/>
      <c r="R156" s="42"/>
      <c r="S156" s="27"/>
      <c r="T156" s="43"/>
      <c r="U156" s="36"/>
      <c r="V156" s="36"/>
      <c r="W156" s="36"/>
      <c r="X156" s="36"/>
      <c r="Y156" s="36"/>
      <c r="Z156" s="36"/>
      <c r="AA156" s="36"/>
      <c r="AB156" s="36"/>
    </row>
    <row r="157" spans="1:28" ht="12.75">
      <c r="A157" s="36"/>
      <c r="B157" s="36"/>
      <c r="C157" s="36"/>
      <c r="D157" s="36"/>
      <c r="E157" s="36"/>
      <c r="F157" s="36"/>
      <c r="G157" s="36"/>
      <c r="H157" s="36"/>
      <c r="I157" s="34"/>
      <c r="J157" s="34"/>
      <c r="K157" s="34"/>
      <c r="L157" s="36"/>
      <c r="M157" s="33"/>
      <c r="N157" s="34"/>
      <c r="O157" s="27"/>
      <c r="P157" s="42"/>
      <c r="Q157" s="42"/>
      <c r="R157" s="42"/>
      <c r="S157" s="27"/>
      <c r="T157" s="46"/>
      <c r="U157" s="36"/>
      <c r="V157" s="36"/>
      <c r="W157" s="36"/>
      <c r="X157" s="36"/>
      <c r="Y157" s="36"/>
      <c r="Z157" s="36"/>
      <c r="AA157" s="36"/>
      <c r="AB157" s="36"/>
    </row>
    <row r="158" spans="1:28" ht="12.75">
      <c r="A158" s="36"/>
      <c r="B158" s="36"/>
      <c r="C158" s="36"/>
      <c r="D158" s="36"/>
      <c r="E158" s="36"/>
      <c r="F158" s="36"/>
      <c r="G158" s="36"/>
      <c r="H158" s="36"/>
      <c r="I158" s="34"/>
      <c r="J158" s="34"/>
      <c r="K158" s="34"/>
      <c r="L158" s="36"/>
      <c r="M158" s="33"/>
      <c r="N158" s="34"/>
      <c r="O158" s="27"/>
      <c r="P158" s="42"/>
      <c r="Q158" s="42"/>
      <c r="R158" s="42"/>
      <c r="S158" s="27"/>
      <c r="T158" s="46"/>
      <c r="U158" s="36"/>
      <c r="V158" s="36"/>
      <c r="W158" s="36"/>
      <c r="X158" s="36"/>
      <c r="Y158" s="36"/>
      <c r="Z158" s="36"/>
      <c r="AA158" s="36"/>
      <c r="AB158" s="36"/>
    </row>
    <row r="159" spans="1:28" ht="12.75">
      <c r="A159" s="36"/>
      <c r="B159" s="36"/>
      <c r="C159" s="36"/>
      <c r="D159" s="36"/>
      <c r="E159" s="36"/>
      <c r="F159" s="36"/>
      <c r="G159" s="36"/>
      <c r="H159" s="36"/>
      <c r="I159" s="34"/>
      <c r="J159" s="34"/>
      <c r="K159" s="34"/>
      <c r="L159" s="36"/>
      <c r="M159" s="33"/>
      <c r="N159" s="34"/>
      <c r="O159" s="27"/>
      <c r="P159" s="42"/>
      <c r="Q159" s="42"/>
      <c r="R159" s="42"/>
      <c r="S159" s="27"/>
      <c r="T159" s="43"/>
      <c r="U159" s="36"/>
      <c r="V159" s="36"/>
      <c r="W159" s="36"/>
      <c r="X159" s="36"/>
      <c r="Y159" s="36"/>
      <c r="Z159" s="36"/>
      <c r="AA159" s="36"/>
      <c r="AB159" s="36"/>
    </row>
    <row r="160" spans="1:28" ht="12.75">
      <c r="A160" s="36"/>
      <c r="B160" s="36"/>
      <c r="C160" s="36"/>
      <c r="D160" s="36"/>
      <c r="E160" s="36"/>
      <c r="F160" s="36"/>
      <c r="G160" s="36"/>
      <c r="H160" s="36"/>
      <c r="I160" s="34"/>
      <c r="J160" s="34"/>
      <c r="K160" s="34"/>
      <c r="L160" s="36"/>
      <c r="M160" s="33"/>
      <c r="N160" s="34"/>
      <c r="O160" s="27"/>
      <c r="P160" s="42"/>
      <c r="Q160" s="42"/>
      <c r="R160" s="42"/>
      <c r="S160" s="27"/>
      <c r="T160" s="43"/>
      <c r="U160" s="36"/>
      <c r="V160" s="36"/>
      <c r="W160" s="36"/>
      <c r="X160" s="36"/>
      <c r="Y160" s="36"/>
      <c r="Z160" s="36"/>
      <c r="AA160" s="36"/>
      <c r="AB160" s="36"/>
    </row>
    <row r="161" spans="1:28" ht="12.75">
      <c r="A161" s="36"/>
      <c r="B161" s="36"/>
      <c r="C161" s="36"/>
      <c r="D161" s="36"/>
      <c r="E161" s="36"/>
      <c r="F161" s="36"/>
      <c r="G161" s="36"/>
      <c r="H161" s="36"/>
      <c r="I161" s="34"/>
      <c r="J161" s="34"/>
      <c r="K161" s="34"/>
      <c r="L161" s="36"/>
      <c r="M161" s="33"/>
      <c r="N161" s="34"/>
      <c r="O161" s="27"/>
      <c r="P161" s="42"/>
      <c r="Q161" s="42"/>
      <c r="R161" s="42"/>
      <c r="S161" s="27"/>
      <c r="T161" s="43"/>
      <c r="U161" s="36"/>
      <c r="V161" s="36"/>
      <c r="W161" s="36"/>
      <c r="X161" s="36"/>
      <c r="Y161" s="36"/>
      <c r="Z161" s="36"/>
      <c r="AA161" s="36"/>
      <c r="AB161" s="36"/>
    </row>
    <row r="162" spans="1:28" ht="12.75">
      <c r="A162" s="36"/>
      <c r="B162" s="36"/>
      <c r="C162" s="36"/>
      <c r="D162" s="36"/>
      <c r="E162" s="36"/>
      <c r="F162" s="36"/>
      <c r="G162" s="36"/>
      <c r="H162" s="36"/>
      <c r="I162" s="34"/>
      <c r="J162" s="34"/>
      <c r="K162" s="34"/>
      <c r="L162" s="36"/>
      <c r="M162" s="33"/>
      <c r="N162" s="34"/>
      <c r="O162" s="27"/>
      <c r="P162" s="42"/>
      <c r="Q162" s="42"/>
      <c r="R162" s="42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:28" ht="12.75">
      <c r="A163" s="36"/>
      <c r="B163" s="36"/>
      <c r="C163" s="36"/>
      <c r="D163" s="36"/>
      <c r="E163" s="36"/>
      <c r="F163" s="36"/>
      <c r="G163" s="36"/>
      <c r="H163" s="36"/>
      <c r="I163" s="34"/>
      <c r="J163" s="34"/>
      <c r="K163" s="34"/>
      <c r="L163" s="36"/>
      <c r="M163" s="33"/>
      <c r="N163" s="34"/>
      <c r="O163" s="27"/>
      <c r="P163" s="42"/>
      <c r="Q163" s="42"/>
      <c r="R163" s="42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:28" ht="12.75">
      <c r="A164" s="36"/>
      <c r="B164" s="36"/>
      <c r="C164" s="36"/>
      <c r="D164" s="36"/>
      <c r="E164" s="36"/>
      <c r="F164" s="36"/>
      <c r="G164" s="36"/>
      <c r="H164" s="36"/>
      <c r="I164" s="34"/>
      <c r="J164" s="34"/>
      <c r="K164" s="34"/>
      <c r="L164" s="36"/>
      <c r="M164" s="33"/>
      <c r="N164" s="34"/>
      <c r="O164" s="27"/>
      <c r="P164" s="42"/>
      <c r="Q164" s="42"/>
      <c r="R164" s="42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ht="12.75">
      <c r="A165" s="36"/>
      <c r="B165" s="36"/>
      <c r="C165" s="36"/>
      <c r="D165" s="36"/>
      <c r="E165" s="36"/>
      <c r="F165" s="36"/>
      <c r="G165" s="36"/>
      <c r="H165" s="36"/>
      <c r="I165" s="34"/>
      <c r="J165" s="34"/>
      <c r="K165" s="34"/>
      <c r="L165" s="36"/>
      <c r="M165" s="33"/>
      <c r="N165" s="34"/>
      <c r="O165" s="27"/>
      <c r="P165" s="42"/>
      <c r="Q165" s="42"/>
      <c r="R165" s="42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ht="12.75">
      <c r="A166" s="36"/>
      <c r="B166" s="36"/>
      <c r="C166" s="36"/>
      <c r="D166" s="36"/>
      <c r="E166" s="36"/>
      <c r="F166" s="36"/>
      <c r="G166" s="36"/>
      <c r="H166" s="36"/>
      <c r="I166" s="34"/>
      <c r="J166" s="34"/>
      <c r="K166" s="34"/>
      <c r="L166" s="36"/>
      <c r="M166" s="33"/>
      <c r="N166" s="34"/>
      <c r="O166" s="27"/>
      <c r="P166" s="42"/>
      <c r="Q166" s="42"/>
      <c r="R166" s="42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ht="12.75">
      <c r="A167" s="36"/>
      <c r="B167" s="36"/>
      <c r="C167" s="36"/>
      <c r="D167" s="36"/>
      <c r="E167" s="36"/>
      <c r="F167" s="36"/>
      <c r="G167" s="36"/>
      <c r="H167" s="36"/>
      <c r="I167" s="34"/>
      <c r="J167" s="34"/>
      <c r="K167" s="34"/>
      <c r="L167" s="36"/>
      <c r="M167" s="33"/>
      <c r="N167" s="34"/>
      <c r="O167" s="27"/>
      <c r="P167" s="42"/>
      <c r="Q167" s="42"/>
      <c r="R167" s="42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2.75">
      <c r="A168" s="36"/>
      <c r="B168" s="36"/>
      <c r="C168" s="36"/>
      <c r="D168" s="36"/>
      <c r="E168" s="36"/>
      <c r="F168" s="36"/>
      <c r="G168" s="36"/>
      <c r="H168" s="36"/>
      <c r="I168" s="34"/>
      <c r="J168" s="34"/>
      <c r="K168" s="34"/>
      <c r="L168" s="36"/>
      <c r="M168" s="33"/>
      <c r="N168" s="34"/>
      <c r="O168" s="27"/>
      <c r="P168" s="42"/>
      <c r="Q168" s="42"/>
      <c r="R168" s="42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2.75">
      <c r="A169" s="36"/>
      <c r="B169" s="36"/>
      <c r="C169" s="36"/>
      <c r="D169" s="36"/>
      <c r="E169" s="36"/>
      <c r="F169" s="36"/>
      <c r="G169" s="36"/>
      <c r="H169" s="36"/>
      <c r="I169" s="34"/>
      <c r="J169" s="34"/>
      <c r="K169" s="34"/>
      <c r="L169" s="36"/>
      <c r="M169" s="33"/>
      <c r="N169" s="34"/>
      <c r="O169" s="27"/>
      <c r="P169" s="42"/>
      <c r="Q169" s="42"/>
      <c r="R169" s="42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2.75">
      <c r="A170" s="36"/>
      <c r="B170" s="36"/>
      <c r="C170" s="36"/>
      <c r="D170" s="36"/>
      <c r="E170" s="36"/>
      <c r="F170" s="36"/>
      <c r="G170" s="36"/>
      <c r="H170" s="36"/>
      <c r="I170" s="34"/>
      <c r="J170" s="34"/>
      <c r="K170" s="34"/>
      <c r="L170" s="36"/>
      <c r="M170" s="33"/>
      <c r="N170" s="34"/>
      <c r="O170" s="27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1:28" ht="12.75">
      <c r="A171" s="36"/>
      <c r="B171" s="36"/>
      <c r="C171" s="36"/>
      <c r="D171" s="36"/>
      <c r="E171" s="36"/>
      <c r="F171" s="36"/>
      <c r="G171" s="36"/>
      <c r="H171" s="36"/>
      <c r="I171" s="34"/>
      <c r="J171" s="34"/>
      <c r="K171" s="34"/>
      <c r="L171" s="36"/>
      <c r="M171" s="33"/>
      <c r="N171" s="34"/>
      <c r="O171" s="27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</row>
    <row r="172" spans="1:28" ht="12.75">
      <c r="A172" s="36"/>
      <c r="B172" s="36"/>
      <c r="C172" s="36"/>
      <c r="D172" s="36"/>
      <c r="E172" s="36"/>
      <c r="F172" s="36"/>
      <c r="G172" s="36"/>
      <c r="H172" s="36"/>
      <c r="I172" s="34"/>
      <c r="J172" s="34"/>
      <c r="K172" s="34"/>
      <c r="L172" s="36"/>
      <c r="M172" s="33"/>
      <c r="N172" s="34"/>
      <c r="O172" s="27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</row>
    <row r="173" spans="1:28" ht="12.75">
      <c r="A173" s="36"/>
      <c r="B173" s="36"/>
      <c r="C173" s="36"/>
      <c r="D173" s="36"/>
      <c r="E173" s="36"/>
      <c r="G173" s="36"/>
      <c r="H173" s="36"/>
      <c r="I173" s="34"/>
      <c r="J173" s="34"/>
      <c r="K173" s="34"/>
      <c r="L173" s="36"/>
      <c r="M173" s="33"/>
      <c r="N173" s="34"/>
      <c r="O173" s="27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</row>
    <row r="174" spans="1:28" ht="12.75">
      <c r="A174" s="36"/>
      <c r="B174" s="36"/>
      <c r="C174" s="36"/>
      <c r="D174" s="36"/>
      <c r="E174" s="36"/>
      <c r="G174" s="36"/>
      <c r="H174" s="36"/>
      <c r="I174" s="34"/>
      <c r="J174" s="34"/>
      <c r="K174" s="34"/>
      <c r="L174" s="36"/>
      <c r="M174" s="33"/>
      <c r="N174" s="34"/>
      <c r="O174" s="27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</row>
    <row r="175" spans="1:15" s="42" customFormat="1" ht="12.75">
      <c r="A175" s="36"/>
      <c r="B175" s="36"/>
      <c r="C175" s="36"/>
      <c r="D175" s="36"/>
      <c r="E175" s="36"/>
      <c r="F175" s="4"/>
      <c r="G175" s="36"/>
      <c r="H175" s="36"/>
      <c r="I175" s="34"/>
      <c r="J175" s="34"/>
      <c r="K175" s="34"/>
      <c r="L175" s="36"/>
      <c r="M175" s="33"/>
      <c r="N175" s="34"/>
      <c r="O175" s="27"/>
    </row>
    <row r="176" spans="1:15" s="42" customFormat="1" ht="12.75">
      <c r="A176" s="36"/>
      <c r="B176" s="36"/>
      <c r="C176" s="36"/>
      <c r="D176" s="36"/>
      <c r="E176" s="36"/>
      <c r="F176" s="4"/>
      <c r="G176" s="36"/>
      <c r="H176" s="36"/>
      <c r="I176" s="34"/>
      <c r="J176" s="34"/>
      <c r="K176" s="34"/>
      <c r="L176" s="36"/>
      <c r="M176" s="33"/>
      <c r="N176" s="34"/>
      <c r="O176" s="27"/>
    </row>
    <row r="177" spans="1:18" s="42" customFormat="1" ht="12.75">
      <c r="A177" s="36"/>
      <c r="B177" s="36"/>
      <c r="C177" s="36"/>
      <c r="D177" s="36"/>
      <c r="E177" s="36"/>
      <c r="F177" s="4"/>
      <c r="G177" s="36"/>
      <c r="H177" s="36"/>
      <c r="I177" s="34"/>
      <c r="J177" s="34"/>
      <c r="K177" s="34"/>
      <c r="L177" s="4"/>
      <c r="M177" s="33"/>
      <c r="N177" s="34"/>
      <c r="O177" s="27"/>
      <c r="P177" s="90"/>
      <c r="Q177" s="90"/>
      <c r="R177" s="90"/>
    </row>
    <row r="178" spans="1:18" s="42" customFormat="1" ht="12.75">
      <c r="A178" s="36"/>
      <c r="B178" s="36"/>
      <c r="C178" s="36"/>
      <c r="D178" s="4"/>
      <c r="E178" s="36"/>
      <c r="F178" s="4"/>
      <c r="G178" s="36"/>
      <c r="H178" s="36"/>
      <c r="I178" s="34"/>
      <c r="J178" s="34"/>
      <c r="K178" s="34"/>
      <c r="L178" s="4"/>
      <c r="M178" s="33"/>
      <c r="N178" s="34"/>
      <c r="O178" s="27"/>
      <c r="P178" s="34"/>
      <c r="Q178" s="34"/>
      <c r="R178" s="34"/>
    </row>
    <row r="179" spans="1:18" s="42" customFormat="1" ht="12.75">
      <c r="A179" s="36"/>
      <c r="B179" s="36"/>
      <c r="C179" s="36"/>
      <c r="D179" s="4"/>
      <c r="E179" s="36"/>
      <c r="F179" s="4"/>
      <c r="G179" s="36"/>
      <c r="H179" s="36"/>
      <c r="I179" s="34"/>
      <c r="J179" s="34"/>
      <c r="K179" s="34"/>
      <c r="L179" s="4"/>
      <c r="M179" s="33"/>
      <c r="N179" s="34"/>
      <c r="O179" s="27"/>
      <c r="P179" s="34"/>
      <c r="Q179" s="34"/>
      <c r="R179" s="34"/>
    </row>
    <row r="180" spans="1:18" s="42" customFormat="1" ht="12.75">
      <c r="A180" s="4"/>
      <c r="B180" s="4"/>
      <c r="C180" s="36"/>
      <c r="D180" s="4"/>
      <c r="E180" s="36"/>
      <c r="F180" s="4"/>
      <c r="G180" s="36"/>
      <c r="H180" s="36"/>
      <c r="I180" s="34"/>
      <c r="J180" s="34"/>
      <c r="K180" s="34"/>
      <c r="L180" s="4"/>
      <c r="M180" s="33"/>
      <c r="N180" s="34"/>
      <c r="O180" s="27"/>
      <c r="P180" s="34"/>
      <c r="Q180" s="34"/>
      <c r="R180" s="34"/>
    </row>
    <row r="181" spans="1:18" s="42" customFormat="1" ht="12.75">
      <c r="A181" s="4"/>
      <c r="B181" s="4"/>
      <c r="C181" s="36"/>
      <c r="D181" s="4"/>
      <c r="E181" s="36"/>
      <c r="F181" s="4"/>
      <c r="G181" s="36"/>
      <c r="H181" s="36"/>
      <c r="I181" s="34"/>
      <c r="J181" s="34"/>
      <c r="K181" s="34"/>
      <c r="L181" s="4"/>
      <c r="M181" s="33"/>
      <c r="N181" s="5"/>
      <c r="O181" s="27"/>
      <c r="P181" s="34"/>
      <c r="Q181" s="34"/>
      <c r="R181" s="34"/>
    </row>
    <row r="182" spans="1:18" s="42" customFormat="1" ht="12.75">
      <c r="A182" s="4"/>
      <c r="B182" s="4"/>
      <c r="C182" s="36"/>
      <c r="D182" s="4"/>
      <c r="E182" s="36"/>
      <c r="F182" s="4"/>
      <c r="G182" s="36"/>
      <c r="H182" s="36"/>
      <c r="I182" s="34"/>
      <c r="J182" s="34"/>
      <c r="K182" s="34"/>
      <c r="L182" s="4"/>
      <c r="M182" s="33"/>
      <c r="N182" s="5"/>
      <c r="O182" s="27"/>
      <c r="P182" s="34"/>
      <c r="Q182" s="34"/>
      <c r="R182" s="34"/>
    </row>
    <row r="183" spans="1:18" s="42" customFormat="1" ht="12.75">
      <c r="A183" s="4"/>
      <c r="B183" s="4"/>
      <c r="C183" s="36"/>
      <c r="D183" s="4"/>
      <c r="E183" s="36"/>
      <c r="F183" s="4"/>
      <c r="G183" s="36"/>
      <c r="H183" s="36"/>
      <c r="I183" s="34"/>
      <c r="J183" s="34"/>
      <c r="K183" s="34"/>
      <c r="L183" s="4"/>
      <c r="M183" s="65"/>
      <c r="N183" s="5"/>
      <c r="O183" s="27"/>
      <c r="P183" s="34"/>
      <c r="Q183" s="34"/>
      <c r="R183" s="34"/>
    </row>
    <row r="184" spans="1:18" s="42" customFormat="1" ht="12.75">
      <c r="A184" s="4"/>
      <c r="B184" s="4"/>
      <c r="C184" s="36"/>
      <c r="D184" s="4"/>
      <c r="E184" s="36"/>
      <c r="F184" s="4"/>
      <c r="G184" s="36"/>
      <c r="H184" s="36"/>
      <c r="I184" s="34"/>
      <c r="J184" s="34"/>
      <c r="K184" s="34"/>
      <c r="L184" s="4"/>
      <c r="M184" s="65"/>
      <c r="N184" s="5"/>
      <c r="O184" s="27"/>
      <c r="P184" s="34"/>
      <c r="Q184" s="34"/>
      <c r="R184" s="34"/>
    </row>
    <row r="185" spans="1:18" s="42" customFormat="1" ht="12.75">
      <c r="A185" s="4"/>
      <c r="B185" s="4"/>
      <c r="C185" s="36"/>
      <c r="D185" s="4"/>
      <c r="E185" s="36"/>
      <c r="F185" s="4"/>
      <c r="G185" s="36"/>
      <c r="H185" s="36"/>
      <c r="I185" s="34"/>
      <c r="J185" s="34"/>
      <c r="K185" s="34"/>
      <c r="L185" s="4"/>
      <c r="M185" s="65"/>
      <c r="N185" s="5"/>
      <c r="O185" s="27"/>
      <c r="P185" s="34"/>
      <c r="Q185" s="34"/>
      <c r="R185" s="34"/>
    </row>
    <row r="186" spans="1:18" s="42" customFormat="1" ht="12.75">
      <c r="A186" s="4"/>
      <c r="B186" s="4"/>
      <c r="C186" s="36"/>
      <c r="D186" s="4"/>
      <c r="E186" s="36"/>
      <c r="F186" s="4"/>
      <c r="G186" s="36"/>
      <c r="H186" s="36"/>
      <c r="I186" s="34"/>
      <c r="J186" s="34"/>
      <c r="K186" s="34"/>
      <c r="L186" s="4"/>
      <c r="M186" s="65"/>
      <c r="N186" s="5"/>
      <c r="O186" s="27"/>
      <c r="P186" s="34"/>
      <c r="Q186" s="34"/>
      <c r="R186" s="34"/>
    </row>
    <row r="187" spans="1:61" s="3" customFormat="1" ht="12.75">
      <c r="A187" s="4"/>
      <c r="B187" s="4"/>
      <c r="C187" s="4"/>
      <c r="D187" s="4"/>
      <c r="E187" s="4"/>
      <c r="F187" s="4"/>
      <c r="G187" s="4"/>
      <c r="H187" s="4"/>
      <c r="I187" s="5"/>
      <c r="J187" s="5"/>
      <c r="K187" s="5"/>
      <c r="L187" s="4"/>
      <c r="M187" s="65"/>
      <c r="N187" s="5"/>
      <c r="O187" s="6"/>
      <c r="P187" s="4"/>
      <c r="Q187" s="4"/>
      <c r="R187" s="4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</row>
    <row r="188" spans="1:61" s="3" customFormat="1" ht="12.75">
      <c r="A188" s="4"/>
      <c r="B188" s="4"/>
      <c r="C188" s="4"/>
      <c r="D188" s="4"/>
      <c r="E188" s="4"/>
      <c r="F188" s="4"/>
      <c r="G188" s="4"/>
      <c r="H188" s="4"/>
      <c r="I188" s="5"/>
      <c r="J188" s="5"/>
      <c r="K188" s="5"/>
      <c r="L188" s="4"/>
      <c r="M188" s="65"/>
      <c r="N188" s="5"/>
      <c r="O188" s="6"/>
      <c r="P188" s="4"/>
      <c r="Q188" s="4"/>
      <c r="R188" s="4"/>
      <c r="S188" s="41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</row>
    <row r="189" spans="1:61" s="3" customFormat="1" ht="12.75">
      <c r="A189" s="4"/>
      <c r="B189" s="4"/>
      <c r="C189" s="4"/>
      <c r="D189" s="4"/>
      <c r="E189" s="4"/>
      <c r="F189" s="4"/>
      <c r="G189" s="4"/>
      <c r="H189" s="4"/>
      <c r="I189" s="5"/>
      <c r="J189" s="5"/>
      <c r="K189" s="5"/>
      <c r="L189" s="4"/>
      <c r="M189" s="65"/>
      <c r="N189" s="5"/>
      <c r="O189" s="6"/>
      <c r="P189" s="4"/>
      <c r="Q189" s="4"/>
      <c r="R189" s="4"/>
      <c r="S189" s="41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</row>
    <row r="190" spans="1:61" s="3" customFormat="1" ht="12.75">
      <c r="A190" s="4"/>
      <c r="B190" s="4"/>
      <c r="C190" s="4"/>
      <c r="D190" s="4"/>
      <c r="E190" s="4"/>
      <c r="F190" s="4"/>
      <c r="G190" s="4"/>
      <c r="H190" s="4"/>
      <c r="I190" s="5"/>
      <c r="J190" s="5"/>
      <c r="K190" s="5"/>
      <c r="L190" s="4"/>
      <c r="M190" s="65"/>
      <c r="N190" s="5"/>
      <c r="O190" s="6"/>
      <c r="P190" s="4"/>
      <c r="Q190" s="4"/>
      <c r="R190" s="4"/>
      <c r="S190" s="41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</row>
    <row r="191" spans="1:61" s="3" customFormat="1" ht="12.75">
      <c r="A191" s="4"/>
      <c r="B191" s="4"/>
      <c r="C191" s="4"/>
      <c r="D191" s="4"/>
      <c r="E191" s="4"/>
      <c r="F191" s="4"/>
      <c r="G191" s="4"/>
      <c r="H191" s="4"/>
      <c r="I191" s="5"/>
      <c r="J191" s="5"/>
      <c r="K191" s="5"/>
      <c r="L191" s="4"/>
      <c r="M191" s="65"/>
      <c r="N191" s="5"/>
      <c r="O191" s="5"/>
      <c r="P191" s="5"/>
      <c r="Q191" s="5"/>
      <c r="R191" s="26"/>
      <c r="S191" s="4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</row>
    <row r="192" spans="1:61" s="3" customFormat="1" ht="12.75">
      <c r="A192" s="4"/>
      <c r="B192" s="4"/>
      <c r="C192" s="4"/>
      <c r="D192" s="4"/>
      <c r="E192" s="4"/>
      <c r="F192" s="4"/>
      <c r="G192" s="4"/>
      <c r="H192" s="4"/>
      <c r="I192" s="5"/>
      <c r="J192" s="5"/>
      <c r="K192" s="5"/>
      <c r="L192" s="4"/>
      <c r="M192" s="65"/>
      <c r="N192" s="5"/>
      <c r="O192" s="5"/>
      <c r="P192" s="5"/>
      <c r="Q192" s="5"/>
      <c r="R192" s="26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</row>
    <row r="193" spans="1:61" s="3" customFormat="1" ht="12.75">
      <c r="A193" s="4"/>
      <c r="B193" s="4"/>
      <c r="C193" s="4"/>
      <c r="D193" s="4"/>
      <c r="E193" s="4"/>
      <c r="F193" s="4"/>
      <c r="G193" s="4"/>
      <c r="H193" s="4"/>
      <c r="I193" s="5"/>
      <c r="J193" s="5"/>
      <c r="K193" s="5"/>
      <c r="L193" s="4"/>
      <c r="M193" s="65"/>
      <c r="N193" s="5"/>
      <c r="O193" s="5"/>
      <c r="P193" s="5"/>
      <c r="Q193" s="5"/>
      <c r="R193" s="26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</row>
    <row r="194" spans="1:61" s="3" customFormat="1" ht="12.75">
      <c r="A194" s="4"/>
      <c r="B194" s="4"/>
      <c r="C194" s="4"/>
      <c r="D194" s="4"/>
      <c r="E194" s="4"/>
      <c r="F194" s="4"/>
      <c r="G194" s="4"/>
      <c r="H194" s="4"/>
      <c r="I194" s="5"/>
      <c r="J194" s="5"/>
      <c r="K194" s="5"/>
      <c r="L194" s="4"/>
      <c r="M194" s="65"/>
      <c r="N194" s="5"/>
      <c r="O194" s="5"/>
      <c r="P194" s="5"/>
      <c r="Q194" s="5"/>
      <c r="R194" s="26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</row>
    <row r="195" spans="1:61" s="3" customFormat="1" ht="12.75">
      <c r="A195" s="4"/>
      <c r="B195" s="4"/>
      <c r="C195" s="4"/>
      <c r="D195" s="4"/>
      <c r="E195" s="4"/>
      <c r="F195" s="4"/>
      <c r="G195" s="4"/>
      <c r="H195" s="4"/>
      <c r="I195" s="5"/>
      <c r="J195" s="5"/>
      <c r="K195" s="5"/>
      <c r="L195" s="4"/>
      <c r="M195" s="65"/>
      <c r="N195" s="5"/>
      <c r="O195" s="5"/>
      <c r="P195" s="5"/>
      <c r="Q195" s="5"/>
      <c r="R195" s="26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</row>
    <row r="196" spans="29:33" ht="12.75">
      <c r="AC196" s="42"/>
      <c r="AD196" s="42"/>
      <c r="AE196" s="42"/>
      <c r="AF196" s="42"/>
      <c r="AG196" s="42"/>
    </row>
  </sheetData>
  <sheetProtection sheet="1" objects="1" scenarios="1"/>
  <mergeCells count="27">
    <mergeCell ref="F43:G43"/>
    <mergeCell ref="F44:L44"/>
    <mergeCell ref="D15:E15"/>
    <mergeCell ref="F21:G21"/>
    <mergeCell ref="F22:G22"/>
    <mergeCell ref="F23:G23"/>
    <mergeCell ref="F24:G24"/>
    <mergeCell ref="A1:F1"/>
    <mergeCell ref="F17:G17"/>
    <mergeCell ref="E3:F3"/>
    <mergeCell ref="F19:G19"/>
    <mergeCell ref="I46:L46"/>
    <mergeCell ref="F27:G27"/>
    <mergeCell ref="F25:G25"/>
    <mergeCell ref="F30:G30"/>
    <mergeCell ref="F31:G31"/>
    <mergeCell ref="A44:B44"/>
    <mergeCell ref="N44:O44"/>
    <mergeCell ref="A48:D48"/>
    <mergeCell ref="A49:D49"/>
    <mergeCell ref="F29:G29"/>
    <mergeCell ref="F33:G33"/>
    <mergeCell ref="F39:G39"/>
    <mergeCell ref="F41:G41"/>
    <mergeCell ref="F35:G35"/>
    <mergeCell ref="F37:G37"/>
    <mergeCell ref="F42:G42"/>
  </mergeCells>
  <dataValidations count="3">
    <dataValidation type="list" allowBlank="1" showInputMessage="1" showErrorMessage="1" sqref="P65:P66 P19:Q43">
      <formula1>#REF!</formula1>
    </dataValidation>
    <dataValidation type="list" allowBlank="1" showInputMessage="1" showErrorMessage="1" sqref="O39 O19 O21:O25 O27 O33 O35 O37 O29:O31">
      <formula1>$A$51:$A$64</formula1>
    </dataValidation>
    <dataValidation type="list" allowBlank="1" showInputMessage="1" showErrorMessage="1" sqref="O40 O28 O38 O36 O34 O32">
      <formula1>$F$65:$F$76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paperSize="3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J196"/>
  <sheetViews>
    <sheetView view="pageBreakPreview" zoomScale="75" zoomScaleNormal="7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46.421875" style="4" customWidth="1"/>
    <col min="2" max="2" width="19.28125" style="4" bestFit="1" customWidth="1"/>
    <col min="3" max="3" width="15.7109375" style="4" customWidth="1"/>
    <col min="4" max="4" width="15.8515625" style="4" customWidth="1"/>
    <col min="5" max="5" width="15.7109375" style="4" customWidth="1"/>
    <col min="6" max="6" width="15.57421875" style="4" customWidth="1"/>
    <col min="7" max="8" width="17.7109375" style="4" customWidth="1"/>
    <col min="9" max="9" width="16.57421875" style="5" customWidth="1"/>
    <col min="10" max="11" width="16.421875" style="5" customWidth="1"/>
    <col min="12" max="12" width="14.7109375" style="4" customWidth="1"/>
    <col min="13" max="13" width="14.7109375" style="65" customWidth="1"/>
    <col min="14" max="14" width="14.7109375" style="5" customWidth="1"/>
    <col min="15" max="15" width="38.57421875" style="5" customWidth="1"/>
    <col min="16" max="16" width="15.57421875" style="5" customWidth="1"/>
    <col min="17" max="17" width="13.28125" style="5" customWidth="1"/>
    <col min="18" max="18" width="14.7109375" style="26" hidden="1" customWidth="1"/>
    <col min="19" max="19" width="21.28125" style="4" hidden="1" customWidth="1"/>
    <col min="20" max="28" width="9.140625" style="4" hidden="1" customWidth="1"/>
    <col min="29" max="33" width="9.140625" style="36" hidden="1" customWidth="1"/>
    <col min="34" max="61" width="9.140625" style="36" customWidth="1"/>
    <col min="62" max="16384" width="9.140625" style="4" customWidth="1"/>
  </cols>
  <sheetData>
    <row r="1" spans="1:6" ht="18.75" customHeight="1">
      <c r="A1" s="238" t="s">
        <v>51</v>
      </c>
      <c r="B1" s="238"/>
      <c r="C1" s="239"/>
      <c r="D1" s="239"/>
      <c r="E1" s="239"/>
      <c r="F1" s="239"/>
    </row>
    <row r="2" spans="1:6" ht="18">
      <c r="A2" s="102"/>
      <c r="B2" s="102"/>
      <c r="C2" s="73"/>
      <c r="D2" s="73"/>
      <c r="E2" s="73"/>
      <c r="F2" s="73"/>
    </row>
    <row r="3" spans="1:6" ht="18">
      <c r="A3" s="7" t="s">
        <v>114</v>
      </c>
      <c r="B3" s="7"/>
      <c r="E3" s="254"/>
      <c r="F3" s="254"/>
    </row>
    <row r="4" spans="1:6" ht="18">
      <c r="A4" s="14"/>
      <c r="B4" s="14"/>
      <c r="E4" s="3"/>
      <c r="F4" s="3"/>
    </row>
    <row r="5" spans="1:6" ht="12.75">
      <c r="A5" s="9"/>
      <c r="B5" s="9"/>
      <c r="F5" s="9"/>
    </row>
    <row r="6" spans="1:8" ht="12.75">
      <c r="A6" s="15" t="s">
        <v>143</v>
      </c>
      <c r="B6" s="15"/>
      <c r="C6" s="16"/>
      <c r="D6" s="9"/>
      <c r="E6" s="16"/>
      <c r="F6" s="16"/>
      <c r="G6" s="16"/>
      <c r="H6" s="16"/>
    </row>
    <row r="7" spans="1:61" ht="12.75">
      <c r="A7" s="22" t="s">
        <v>26</v>
      </c>
      <c r="B7" s="23" t="s">
        <v>22</v>
      </c>
      <c r="C7" s="23" t="s">
        <v>23</v>
      </c>
      <c r="D7" s="23" t="s">
        <v>24</v>
      </c>
      <c r="E7" s="23" t="s">
        <v>25</v>
      </c>
      <c r="F7" s="106" t="s">
        <v>7</v>
      </c>
      <c r="G7" s="77"/>
      <c r="H7" s="5"/>
      <c r="K7" s="4"/>
      <c r="L7" s="65"/>
      <c r="M7" s="5"/>
      <c r="Q7" s="26"/>
      <c r="R7" s="4"/>
      <c r="AB7" s="36"/>
      <c r="BI7" s="4"/>
    </row>
    <row r="8" spans="1:61" ht="12.75">
      <c r="A8" s="164" t="s">
        <v>95</v>
      </c>
      <c r="B8" s="201">
        <f>'Site Data'!B45</f>
        <v>0</v>
      </c>
      <c r="C8" s="201">
        <f>'Site Data'!C45</f>
        <v>0</v>
      </c>
      <c r="D8" s="201">
        <f>'Site Data'!D45</f>
        <v>0</v>
      </c>
      <c r="E8" s="201">
        <f>'Site Data'!E45</f>
        <v>0</v>
      </c>
      <c r="F8" s="18">
        <f>SUM(B8:E8)</f>
        <v>0</v>
      </c>
      <c r="G8" s="77"/>
      <c r="H8" s="5"/>
      <c r="K8" s="4"/>
      <c r="L8" s="65"/>
      <c r="M8" s="5"/>
      <c r="Q8" s="26"/>
      <c r="R8" s="4"/>
      <c r="AB8" s="36"/>
      <c r="BI8" s="4"/>
    </row>
    <row r="9" spans="1:61" ht="12.75">
      <c r="A9" s="69" t="s">
        <v>36</v>
      </c>
      <c r="B9" s="201">
        <f>'Site Data'!B46</f>
        <v>0</v>
      </c>
      <c r="C9" s="201">
        <f>'Site Data'!C46</f>
        <v>0</v>
      </c>
      <c r="D9" s="201">
        <f>'Site Data'!D46</f>
        <v>0</v>
      </c>
      <c r="E9" s="201">
        <f>'Site Data'!E46</f>
        <v>0</v>
      </c>
      <c r="F9" s="18">
        <f>SUM(B9:E9)</f>
        <v>0</v>
      </c>
      <c r="G9" s="62"/>
      <c r="H9" s="5"/>
      <c r="K9" s="4"/>
      <c r="L9" s="65"/>
      <c r="M9" s="5"/>
      <c r="Q9" s="26"/>
      <c r="R9" s="4"/>
      <c r="AB9" s="36"/>
      <c r="BI9" s="4"/>
    </row>
    <row r="10" spans="1:61" ht="12.75">
      <c r="A10" s="69" t="s">
        <v>14</v>
      </c>
      <c r="B10" s="201">
        <f>'Site Data'!B47</f>
        <v>0</v>
      </c>
      <c r="C10" s="201">
        <f>'Site Data'!C47</f>
        <v>0</v>
      </c>
      <c r="D10" s="201">
        <f>'Site Data'!D47</f>
        <v>0</v>
      </c>
      <c r="E10" s="201">
        <f>'Site Data'!E47</f>
        <v>0</v>
      </c>
      <c r="F10" s="18">
        <f>SUM(B10:E10)</f>
        <v>0</v>
      </c>
      <c r="G10" s="62"/>
      <c r="H10" s="5"/>
      <c r="K10" s="4"/>
      <c r="L10" s="65"/>
      <c r="M10" s="5"/>
      <c r="P10" s="67"/>
      <c r="Q10" s="26"/>
      <c r="R10" s="4"/>
      <c r="AB10" s="36"/>
      <c r="BI10" s="4"/>
    </row>
    <row r="11" spans="1:61" ht="12.75">
      <c r="A11" s="15"/>
      <c r="B11" s="16"/>
      <c r="C11" s="19"/>
      <c r="D11" s="16"/>
      <c r="E11" s="107" t="s">
        <v>8</v>
      </c>
      <c r="F11" s="18">
        <f>SUM(F8:F10)</f>
        <v>0</v>
      </c>
      <c r="G11" s="62"/>
      <c r="H11" s="5"/>
      <c r="K11" s="4"/>
      <c r="L11" s="65"/>
      <c r="M11" s="5"/>
      <c r="Q11" s="26"/>
      <c r="R11" s="4"/>
      <c r="AB11" s="36"/>
      <c r="BI11" s="4"/>
    </row>
    <row r="12" spans="1:61" ht="12.75">
      <c r="A12" s="15"/>
      <c r="B12" s="16"/>
      <c r="C12" s="19"/>
      <c r="D12" s="16"/>
      <c r="E12" s="107"/>
      <c r="F12" s="62"/>
      <c r="G12" s="62"/>
      <c r="H12" s="5"/>
      <c r="K12" s="4"/>
      <c r="L12" s="65"/>
      <c r="M12" s="5"/>
      <c r="Q12" s="26"/>
      <c r="R12" s="4"/>
      <c r="AB12" s="36"/>
      <c r="BI12" s="4"/>
    </row>
    <row r="13" spans="1:61" ht="12.75">
      <c r="A13" s="118" t="s">
        <v>98</v>
      </c>
      <c r="B13" s="119">
        <f>IF(F9&gt;0,SUMPRODUCT(B9:E9,'Site Data'!B54:E54)/F9,0)</f>
        <v>0</v>
      </c>
      <c r="C13" s="19"/>
      <c r="D13" s="16"/>
      <c r="E13" s="107"/>
      <c r="F13" s="62"/>
      <c r="G13" s="62"/>
      <c r="H13" s="5"/>
      <c r="K13" s="4"/>
      <c r="L13" s="65"/>
      <c r="M13" s="5"/>
      <c r="Q13" s="26"/>
      <c r="R13" s="4"/>
      <c r="AB13" s="36"/>
      <c r="BI13" s="4"/>
    </row>
    <row r="14" spans="1:61" ht="12.75">
      <c r="A14" s="118" t="s">
        <v>42</v>
      </c>
      <c r="B14" s="121">
        <v>0.95</v>
      </c>
      <c r="C14" s="19"/>
      <c r="D14" s="16"/>
      <c r="E14" s="108"/>
      <c r="F14" s="62"/>
      <c r="G14" s="62"/>
      <c r="H14" s="5"/>
      <c r="K14" s="4"/>
      <c r="L14" s="65"/>
      <c r="M14" s="5"/>
      <c r="Q14" s="26"/>
      <c r="R14" s="4"/>
      <c r="AB14" s="36"/>
      <c r="BI14" s="4"/>
    </row>
    <row r="15" spans="1:60" s="16" customFormat="1" ht="18">
      <c r="A15" s="98"/>
      <c r="D15" s="255" t="s">
        <v>147</v>
      </c>
      <c r="E15" s="255"/>
      <c r="F15" s="78">
        <f>1/12*(B13*F9+B14*F10)*43560</f>
        <v>0</v>
      </c>
      <c r="G15" s="20"/>
      <c r="H15" s="72"/>
      <c r="I15" s="72"/>
      <c r="J15" s="72"/>
      <c r="L15" s="72"/>
      <c r="M15" s="73"/>
      <c r="N15" s="71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</row>
    <row r="16" spans="1:61" s="16" customFormat="1" ht="18">
      <c r="A16" s="14" t="s">
        <v>56</v>
      </c>
      <c r="B16" s="14"/>
      <c r="I16" s="72"/>
      <c r="J16" s="72"/>
      <c r="K16" s="72"/>
      <c r="M16" s="74"/>
      <c r="N16" s="72"/>
      <c r="O16" s="72"/>
      <c r="P16" s="72"/>
      <c r="Q16" s="72"/>
      <c r="R16" s="73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</row>
    <row r="17" spans="1:61" s="16" customFormat="1" ht="63.75" customHeight="1">
      <c r="A17" s="106" t="s">
        <v>57</v>
      </c>
      <c r="B17" s="106" t="s">
        <v>151</v>
      </c>
      <c r="C17" s="104" t="s">
        <v>28</v>
      </c>
      <c r="D17" s="104" t="s">
        <v>74</v>
      </c>
      <c r="E17" s="104" t="s">
        <v>68</v>
      </c>
      <c r="F17" s="252" t="s">
        <v>9</v>
      </c>
      <c r="G17" s="253"/>
      <c r="H17" s="160" t="s">
        <v>94</v>
      </c>
      <c r="I17" s="151" t="s">
        <v>69</v>
      </c>
      <c r="J17" s="66" t="s">
        <v>70</v>
      </c>
      <c r="K17" s="66" t="s">
        <v>92</v>
      </c>
      <c r="L17" s="105" t="s">
        <v>29</v>
      </c>
      <c r="M17" s="105" t="s">
        <v>71</v>
      </c>
      <c r="N17" s="142" t="s">
        <v>72</v>
      </c>
      <c r="O17" s="105" t="s">
        <v>73</v>
      </c>
      <c r="P17" s="32"/>
      <c r="Q17" s="32"/>
      <c r="R17" s="4"/>
      <c r="S17" s="146" t="s">
        <v>76</v>
      </c>
      <c r="T17" s="146" t="s">
        <v>77</v>
      </c>
      <c r="U17" s="146" t="s">
        <v>78</v>
      </c>
      <c r="V17" s="146" t="s">
        <v>79</v>
      </c>
      <c r="W17" s="202" t="s">
        <v>119</v>
      </c>
      <c r="X17" s="146" t="s">
        <v>80</v>
      </c>
      <c r="Y17" s="146" t="s">
        <v>81</v>
      </c>
      <c r="Z17" s="146" t="s">
        <v>82</v>
      </c>
      <c r="AA17" s="146" t="s">
        <v>141</v>
      </c>
      <c r="AB17" s="146" t="s">
        <v>142</v>
      </c>
      <c r="AC17" s="146" t="s">
        <v>83</v>
      </c>
      <c r="AD17" s="146" t="s">
        <v>84</v>
      </c>
      <c r="AE17" s="149" t="s">
        <v>85</v>
      </c>
      <c r="AF17" s="149" t="s">
        <v>86</v>
      </c>
      <c r="AG17" s="148" t="s">
        <v>87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</row>
    <row r="18" spans="1:61" s="16" customFormat="1" ht="12.75">
      <c r="A18" s="130" t="s">
        <v>58</v>
      </c>
      <c r="B18" s="228"/>
      <c r="C18" s="131"/>
      <c r="D18" s="131"/>
      <c r="E18" s="131"/>
      <c r="F18" s="131"/>
      <c r="G18" s="131"/>
      <c r="H18" s="131"/>
      <c r="I18" s="132"/>
      <c r="J18" s="132"/>
      <c r="K18" s="155"/>
      <c r="L18" s="133"/>
      <c r="M18" s="133"/>
      <c r="N18" s="143"/>
      <c r="O18" s="134"/>
      <c r="P18" s="32"/>
      <c r="Q18" s="32"/>
      <c r="R18" s="4"/>
      <c r="S18" s="88"/>
      <c r="T18" s="88"/>
      <c r="U18" s="88"/>
      <c r="V18" s="88"/>
      <c r="W18" s="88"/>
      <c r="X18" s="89"/>
      <c r="Y18" s="87"/>
      <c r="Z18" s="87"/>
      <c r="AA18" s="87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</row>
    <row r="19" spans="1:61" s="16" customFormat="1" ht="25.5" customHeight="1">
      <c r="A19" s="96" t="s">
        <v>59</v>
      </c>
      <c r="B19" s="231"/>
      <c r="C19" s="1"/>
      <c r="D19" s="18" t="s">
        <v>30</v>
      </c>
      <c r="E19" s="78">
        <f>1/12*0.95*C19*43560</f>
        <v>0</v>
      </c>
      <c r="F19" s="247" t="s">
        <v>75</v>
      </c>
      <c r="G19" s="248"/>
      <c r="H19" s="221">
        <v>1</v>
      </c>
      <c r="I19" s="76" t="s">
        <v>30</v>
      </c>
      <c r="J19" s="37">
        <f>E19</f>
        <v>0</v>
      </c>
      <c r="K19" s="156" t="s">
        <v>30</v>
      </c>
      <c r="L19" s="111"/>
      <c r="M19" s="79">
        <f>IF(L19*H19&lt;=J19,L19*H19,J19)</f>
        <v>0</v>
      </c>
      <c r="N19" s="154">
        <f aca="true" t="shared" si="0" ref="N19:N43">J19-M19</f>
        <v>0</v>
      </c>
      <c r="O19" s="80"/>
      <c r="P19" s="27"/>
      <c r="Q19" s="27"/>
      <c r="R19" s="4"/>
      <c r="S19" s="4">
        <f>IF($O19=S$17,$N19,0)</f>
        <v>0</v>
      </c>
      <c r="T19" s="4">
        <f aca="true" t="shared" si="1" ref="T19:AF33">IF($O19=T$17,$N19,0)</f>
        <v>0</v>
      </c>
      <c r="U19" s="4">
        <f t="shared" si="1"/>
        <v>0</v>
      </c>
      <c r="V19" s="4">
        <f t="shared" si="1"/>
        <v>0</v>
      </c>
      <c r="W19" s="4">
        <f t="shared" si="1"/>
        <v>0</v>
      </c>
      <c r="X19" s="4">
        <f t="shared" si="1"/>
        <v>0</v>
      </c>
      <c r="Y19" s="4">
        <f t="shared" si="1"/>
        <v>0</v>
      </c>
      <c r="Z19" s="4">
        <f t="shared" si="1"/>
        <v>0</v>
      </c>
      <c r="AA19" s="4">
        <f t="shared" si="1"/>
        <v>0</v>
      </c>
      <c r="AB19" s="4">
        <f t="shared" si="1"/>
        <v>0</v>
      </c>
      <c r="AC19" s="4">
        <f t="shared" si="1"/>
        <v>0</v>
      </c>
      <c r="AD19" s="4">
        <f t="shared" si="1"/>
        <v>0</v>
      </c>
      <c r="AE19" s="4">
        <f t="shared" si="1"/>
        <v>0</v>
      </c>
      <c r="AF19" s="4">
        <f t="shared" si="1"/>
        <v>0</v>
      </c>
      <c r="AG19" s="4">
        <f>IF($O19=AG$17,$N19,0)</f>
        <v>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</row>
    <row r="20" spans="1:61" s="16" customFormat="1" ht="12.75">
      <c r="A20" s="130" t="s">
        <v>60</v>
      </c>
      <c r="B20" s="228"/>
      <c r="C20" s="131"/>
      <c r="D20" s="131"/>
      <c r="E20" s="131"/>
      <c r="F20" s="131"/>
      <c r="G20" s="131"/>
      <c r="H20" s="162"/>
      <c r="I20" s="132"/>
      <c r="J20" s="132"/>
      <c r="K20" s="155"/>
      <c r="L20" s="133"/>
      <c r="M20" s="133"/>
      <c r="N20" s="143"/>
      <c r="O20" s="134"/>
      <c r="P20" s="27"/>
      <c r="Q20" s="27"/>
      <c r="R20" s="4"/>
      <c r="S20" s="4"/>
      <c r="T20" s="4"/>
      <c r="U20" s="4"/>
      <c r="V20" s="4"/>
      <c r="W20" s="4"/>
      <c r="X20" s="4"/>
      <c r="Y20" s="4"/>
      <c r="Z20" s="4"/>
      <c r="AA20" s="4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</row>
    <row r="21" spans="1:33" ht="38.25" customHeight="1">
      <c r="A21" s="146" t="s">
        <v>76</v>
      </c>
      <c r="B21" s="232"/>
      <c r="C21" s="1"/>
      <c r="D21" s="103" t="s">
        <v>30</v>
      </c>
      <c r="E21" s="78">
        <f aca="true" t="shared" si="2" ref="E21:E27">1/12*0.95*C21*43560</f>
        <v>0</v>
      </c>
      <c r="F21" s="247" t="s">
        <v>99</v>
      </c>
      <c r="G21" s="248"/>
      <c r="H21" s="221" t="s">
        <v>30</v>
      </c>
      <c r="I21" s="37">
        <f>S45</f>
        <v>0</v>
      </c>
      <c r="J21" s="37">
        <f>E21+I21</f>
        <v>0</v>
      </c>
      <c r="K21" s="215"/>
      <c r="L21" s="76" t="s">
        <v>30</v>
      </c>
      <c r="M21" s="79">
        <f>IF(K21*0.04&lt;=J21,K21*0.04,J21)</f>
        <v>0</v>
      </c>
      <c r="N21" s="154">
        <f t="shared" si="0"/>
        <v>0</v>
      </c>
      <c r="O21" s="80"/>
      <c r="P21" s="27"/>
      <c r="Q21" s="27"/>
      <c r="R21" s="4"/>
      <c r="S21" s="4">
        <f>IF($O21=S$17,$N21,0)</f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 t="shared" si="1"/>
        <v>0</v>
      </c>
      <c r="AB21" s="4">
        <f t="shared" si="1"/>
        <v>0</v>
      </c>
      <c r="AC21" s="4">
        <f t="shared" si="1"/>
        <v>0</v>
      </c>
      <c r="AD21" s="4">
        <f t="shared" si="1"/>
        <v>0</v>
      </c>
      <c r="AE21" s="4">
        <f t="shared" si="1"/>
        <v>0</v>
      </c>
      <c r="AF21" s="4">
        <f t="shared" si="1"/>
        <v>0</v>
      </c>
      <c r="AG21" s="4">
        <f>IF($O21=AG$17,$N21,0)</f>
        <v>0</v>
      </c>
    </row>
    <row r="22" spans="1:33" ht="38.25" customHeight="1">
      <c r="A22" s="146" t="s">
        <v>77</v>
      </c>
      <c r="B22" s="232"/>
      <c r="C22" s="1"/>
      <c r="D22" s="103" t="s">
        <v>30</v>
      </c>
      <c r="E22" s="78">
        <f t="shared" si="2"/>
        <v>0</v>
      </c>
      <c r="F22" s="247" t="s">
        <v>100</v>
      </c>
      <c r="G22" s="248"/>
      <c r="H22" s="221" t="s">
        <v>30</v>
      </c>
      <c r="I22" s="37">
        <f>T45</f>
        <v>0</v>
      </c>
      <c r="J22" s="37">
        <f>E22+I22</f>
        <v>0</v>
      </c>
      <c r="K22" s="215"/>
      <c r="L22" s="76" t="s">
        <v>30</v>
      </c>
      <c r="M22" s="79">
        <f>IF(K22*0.02&lt;=J22,K22*0.02,J22)</f>
        <v>0</v>
      </c>
      <c r="N22" s="154">
        <f t="shared" si="0"/>
        <v>0</v>
      </c>
      <c r="O22" s="80"/>
      <c r="P22" s="27"/>
      <c r="Q22" s="27"/>
      <c r="R22" s="4"/>
      <c r="S22" s="4">
        <f>IF($O22=S$17,$N22,0)</f>
        <v>0</v>
      </c>
      <c r="T22" s="4">
        <f t="shared" si="1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si="1"/>
        <v>0</v>
      </c>
      <c r="AB22" s="4">
        <f t="shared" si="1"/>
        <v>0</v>
      </c>
      <c r="AC22" s="4">
        <f t="shared" si="1"/>
        <v>0</v>
      </c>
      <c r="AD22" s="4">
        <f t="shared" si="1"/>
        <v>0</v>
      </c>
      <c r="AE22" s="4">
        <f t="shared" si="1"/>
        <v>0</v>
      </c>
      <c r="AF22" s="4">
        <f t="shared" si="1"/>
        <v>0</v>
      </c>
      <c r="AG22" s="4">
        <f>IF($O22=AG$17,$N22,0)</f>
        <v>0</v>
      </c>
    </row>
    <row r="23" spans="1:33" ht="25.5" customHeight="1">
      <c r="A23" s="146" t="s">
        <v>110</v>
      </c>
      <c r="B23" s="232"/>
      <c r="C23" s="1"/>
      <c r="D23" s="225"/>
      <c r="E23" s="78">
        <f>1/12*(0.95*C23+$B$13*D23)*43560</f>
        <v>0</v>
      </c>
      <c r="F23" s="247" t="s">
        <v>75</v>
      </c>
      <c r="G23" s="248"/>
      <c r="H23" s="221">
        <v>1</v>
      </c>
      <c r="I23" s="37">
        <f>U45</f>
        <v>0</v>
      </c>
      <c r="J23" s="37">
        <f>E23+I23</f>
        <v>0</v>
      </c>
      <c r="K23" s="156" t="s">
        <v>30</v>
      </c>
      <c r="L23" s="111"/>
      <c r="M23" s="79">
        <f>IF(L23*H23&lt;=J23,L23*H23,J23)</f>
        <v>0</v>
      </c>
      <c r="N23" s="154">
        <f t="shared" si="0"/>
        <v>0</v>
      </c>
      <c r="O23" s="80"/>
      <c r="P23" s="27"/>
      <c r="Q23" s="27"/>
      <c r="R23" s="4"/>
      <c r="S23" s="4">
        <f>IF($O23=S$17,$N23,0)</f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>IF($O23=AG$17,$N23,0)</f>
        <v>0</v>
      </c>
    </row>
    <row r="24" spans="1:33" ht="25.5" customHeight="1">
      <c r="A24" s="146" t="s">
        <v>79</v>
      </c>
      <c r="B24" s="232"/>
      <c r="C24" s="1"/>
      <c r="D24" s="103" t="s">
        <v>30</v>
      </c>
      <c r="E24" s="78">
        <f t="shared" si="2"/>
        <v>0</v>
      </c>
      <c r="F24" s="247" t="s">
        <v>93</v>
      </c>
      <c r="G24" s="248"/>
      <c r="H24" s="216"/>
      <c r="I24" s="37">
        <f>V45</f>
        <v>0</v>
      </c>
      <c r="J24" s="37">
        <f>E24+I24</f>
        <v>0</v>
      </c>
      <c r="K24" s="156" t="s">
        <v>30</v>
      </c>
      <c r="L24" s="111"/>
      <c r="M24" s="79">
        <f>IF(L24*H24&lt;=J24,L24*H24,J24)</f>
        <v>0</v>
      </c>
      <c r="N24" s="154">
        <f t="shared" si="0"/>
        <v>0</v>
      </c>
      <c r="O24" s="80"/>
      <c r="P24" s="27"/>
      <c r="Q24" s="27"/>
      <c r="R24" s="4"/>
      <c r="S24" s="4">
        <f>IF($O24=S$17,$N24,0)</f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1"/>
        <v>0</v>
      </c>
      <c r="AB24" s="4">
        <f t="shared" si="1"/>
        <v>0</v>
      </c>
      <c r="AC24" s="4">
        <f t="shared" si="1"/>
        <v>0</v>
      </c>
      <c r="AD24" s="4">
        <f t="shared" si="1"/>
        <v>0</v>
      </c>
      <c r="AE24" s="4">
        <f t="shared" si="1"/>
        <v>0</v>
      </c>
      <c r="AF24" s="4">
        <f t="shared" si="1"/>
        <v>0</v>
      </c>
      <c r="AG24" s="4">
        <f>IF($O24=AG$17,$N24,0)</f>
        <v>0</v>
      </c>
    </row>
    <row r="25" spans="1:33" ht="25.5" customHeight="1">
      <c r="A25" s="202" t="s">
        <v>119</v>
      </c>
      <c r="B25" s="233"/>
      <c r="C25" s="1"/>
      <c r="D25" s="103" t="s">
        <v>30</v>
      </c>
      <c r="E25" s="78">
        <f t="shared" si="2"/>
        <v>0</v>
      </c>
      <c r="F25" s="247" t="s">
        <v>75</v>
      </c>
      <c r="G25" s="248"/>
      <c r="H25" s="221">
        <v>1</v>
      </c>
      <c r="I25" s="37">
        <f>W45</f>
        <v>0</v>
      </c>
      <c r="J25" s="37">
        <f>E25+I25</f>
        <v>0</v>
      </c>
      <c r="K25" s="156" t="s">
        <v>30</v>
      </c>
      <c r="L25" s="111"/>
      <c r="M25" s="79">
        <f>IF(L25*H25&lt;=J25,L25*H25,J25)</f>
        <v>0</v>
      </c>
      <c r="N25" s="154">
        <f>J25-M25</f>
        <v>0</v>
      </c>
      <c r="O25" s="80"/>
      <c r="P25" s="27"/>
      <c r="Q25" s="27"/>
      <c r="R25" s="4"/>
      <c r="S25" s="4">
        <f>IF($O25=S$17,$N25,0)</f>
        <v>0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1"/>
        <v>0</v>
      </c>
      <c r="AB25" s="4">
        <f t="shared" si="1"/>
        <v>0</v>
      </c>
      <c r="AC25" s="4">
        <f t="shared" si="1"/>
        <v>0</v>
      </c>
      <c r="AD25" s="4">
        <f t="shared" si="1"/>
        <v>0</v>
      </c>
      <c r="AE25" s="4">
        <f t="shared" si="1"/>
        <v>0</v>
      </c>
      <c r="AF25" s="4">
        <f t="shared" si="1"/>
        <v>0</v>
      </c>
      <c r="AG25" s="4">
        <f>IF($O25=AG$17,$N25,0)</f>
        <v>0</v>
      </c>
    </row>
    <row r="26" spans="1:61" s="16" customFormat="1" ht="12.75">
      <c r="A26" s="130" t="s">
        <v>61</v>
      </c>
      <c r="B26" s="228"/>
      <c r="C26" s="131"/>
      <c r="D26" s="131"/>
      <c r="E26" s="131"/>
      <c r="F26" s="131"/>
      <c r="G26" s="131"/>
      <c r="H26" s="162"/>
      <c r="I26" s="132"/>
      <c r="J26" s="132"/>
      <c r="K26" s="155"/>
      <c r="L26" s="133"/>
      <c r="M26" s="133"/>
      <c r="N26" s="143"/>
      <c r="O26" s="134"/>
      <c r="P26" s="27"/>
      <c r="Q26" s="27"/>
      <c r="R26" s="4"/>
      <c r="S26" s="4"/>
      <c r="T26" s="4"/>
      <c r="U26" s="4"/>
      <c r="V26" s="4"/>
      <c r="W26" s="4"/>
      <c r="X26" s="4"/>
      <c r="Y26" s="4"/>
      <c r="Z26" s="4"/>
      <c r="AA26" s="4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</row>
    <row r="27" spans="1:33" ht="25.5" customHeight="1">
      <c r="A27" s="147" t="s">
        <v>140</v>
      </c>
      <c r="B27" s="234"/>
      <c r="C27" s="1"/>
      <c r="D27" s="103" t="s">
        <v>30</v>
      </c>
      <c r="E27" s="78">
        <f t="shared" si="2"/>
        <v>0</v>
      </c>
      <c r="F27" s="247" t="s">
        <v>75</v>
      </c>
      <c r="G27" s="248"/>
      <c r="H27" s="221">
        <v>1</v>
      </c>
      <c r="I27" s="76" t="s">
        <v>30</v>
      </c>
      <c r="J27" s="37">
        <f>E27</f>
        <v>0</v>
      </c>
      <c r="K27" s="156" t="s">
        <v>30</v>
      </c>
      <c r="L27" s="111"/>
      <c r="M27" s="79">
        <f>IF(L27*H27&lt;=J27,L27*H27,J27)</f>
        <v>0</v>
      </c>
      <c r="N27" s="154">
        <f t="shared" si="0"/>
        <v>0</v>
      </c>
      <c r="O27" s="80"/>
      <c r="P27" s="27"/>
      <c r="Q27" s="27"/>
      <c r="R27" s="4"/>
      <c r="S27" s="4">
        <f>IF($O27=S$17,$N27,0)</f>
        <v>0</v>
      </c>
      <c r="T27" s="4">
        <f t="shared" si="1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1"/>
        <v>0</v>
      </c>
      <c r="AB27" s="4">
        <f t="shared" si="1"/>
        <v>0</v>
      </c>
      <c r="AC27" s="4">
        <f t="shared" si="1"/>
        <v>0</v>
      </c>
      <c r="AD27" s="4">
        <f t="shared" si="1"/>
        <v>0</v>
      </c>
      <c r="AE27" s="4">
        <f t="shared" si="1"/>
        <v>0</v>
      </c>
      <c r="AF27" s="4">
        <f t="shared" si="1"/>
        <v>0</v>
      </c>
      <c r="AG27" s="4">
        <f>IF($O27=AG$17,$N27,0)</f>
        <v>0</v>
      </c>
    </row>
    <row r="28" spans="1:28" ht="12.75">
      <c r="A28" s="129" t="s">
        <v>62</v>
      </c>
      <c r="B28" s="129"/>
      <c r="C28" s="218"/>
      <c r="D28" s="135"/>
      <c r="E28" s="136"/>
      <c r="F28" s="137"/>
      <c r="G28" s="137"/>
      <c r="H28" s="163"/>
      <c r="I28" s="138"/>
      <c r="J28" s="139"/>
      <c r="K28" s="139"/>
      <c r="L28" s="138"/>
      <c r="M28" s="136"/>
      <c r="N28" s="139"/>
      <c r="O28" s="219"/>
      <c r="P28" s="27"/>
      <c r="Q28" s="27"/>
      <c r="R28" s="4"/>
      <c r="AB28" s="36"/>
    </row>
    <row r="29" spans="1:33" ht="25.5" customHeight="1">
      <c r="A29" s="147" t="s">
        <v>138</v>
      </c>
      <c r="B29" s="234"/>
      <c r="C29" s="1"/>
      <c r="D29" s="217"/>
      <c r="E29" s="78">
        <f>1/12*(0.95*C29+$B$13*D29)*43560</f>
        <v>0</v>
      </c>
      <c r="F29" s="247" t="s">
        <v>91</v>
      </c>
      <c r="G29" s="248"/>
      <c r="H29" s="221">
        <v>0.2</v>
      </c>
      <c r="I29" s="37">
        <f>X45</f>
        <v>0</v>
      </c>
      <c r="J29" s="37">
        <f aca="true" t="shared" si="3" ref="J29:J43">E29+I29</f>
        <v>0</v>
      </c>
      <c r="K29" s="156" t="s">
        <v>30</v>
      </c>
      <c r="L29" s="76" t="s">
        <v>30</v>
      </c>
      <c r="M29" s="79">
        <f>J29*H29</f>
        <v>0</v>
      </c>
      <c r="N29" s="154">
        <f t="shared" si="0"/>
        <v>0</v>
      </c>
      <c r="O29" s="80"/>
      <c r="P29" s="27"/>
      <c r="Q29" s="27"/>
      <c r="R29" s="4"/>
      <c r="S29" s="4">
        <f>IF($O29=S$17,$N29,0)</f>
        <v>0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1"/>
        <v>0</v>
      </c>
      <c r="AB29" s="4">
        <f t="shared" si="1"/>
        <v>0</v>
      </c>
      <c r="AC29" s="4">
        <f t="shared" si="1"/>
        <v>0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>IF($O29=AG$17,$N29,0)</f>
        <v>0</v>
      </c>
    </row>
    <row r="30" spans="1:33" ht="25.5" customHeight="1">
      <c r="A30" s="147" t="s">
        <v>139</v>
      </c>
      <c r="B30" s="234"/>
      <c r="C30" s="1"/>
      <c r="D30" s="217"/>
      <c r="E30" s="78">
        <f>1/12*(0.95*C30+$B$13*D30)*43560</f>
        <v>0</v>
      </c>
      <c r="F30" s="247" t="s">
        <v>90</v>
      </c>
      <c r="G30" s="248"/>
      <c r="H30" s="221">
        <v>0.1</v>
      </c>
      <c r="I30" s="37">
        <f>Y45</f>
        <v>0</v>
      </c>
      <c r="J30" s="37">
        <f t="shared" si="3"/>
        <v>0</v>
      </c>
      <c r="K30" s="156" t="s">
        <v>30</v>
      </c>
      <c r="L30" s="76" t="s">
        <v>30</v>
      </c>
      <c r="M30" s="79">
        <f>J30*H30</f>
        <v>0</v>
      </c>
      <c r="N30" s="154">
        <f t="shared" si="0"/>
        <v>0</v>
      </c>
      <c r="O30" s="80"/>
      <c r="P30" s="27"/>
      <c r="Q30" s="27"/>
      <c r="R30" s="4"/>
      <c r="S30" s="4">
        <f>IF($O30=S$17,$N30,0)</f>
        <v>0</v>
      </c>
      <c r="T30" s="4">
        <f t="shared" si="1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1"/>
        <v>0</v>
      </c>
      <c r="AB30" s="4">
        <f t="shared" si="1"/>
        <v>0</v>
      </c>
      <c r="AC30" s="4">
        <f t="shared" si="1"/>
        <v>0</v>
      </c>
      <c r="AD30" s="4">
        <f t="shared" si="1"/>
        <v>0</v>
      </c>
      <c r="AE30" s="4">
        <f t="shared" si="1"/>
        <v>0</v>
      </c>
      <c r="AF30" s="4">
        <f t="shared" si="1"/>
        <v>0</v>
      </c>
      <c r="AG30" s="4">
        <f>IF($O30=AG$17,$N30,0)</f>
        <v>0</v>
      </c>
    </row>
    <row r="31" spans="1:33" ht="25.5" customHeight="1">
      <c r="A31" s="147" t="s">
        <v>82</v>
      </c>
      <c r="B31" s="234"/>
      <c r="C31" s="1"/>
      <c r="D31" s="217"/>
      <c r="E31" s="78">
        <f>1/12*(0.95*C31+$B$13*D31)*43560</f>
        <v>0</v>
      </c>
      <c r="F31" s="247" t="s">
        <v>89</v>
      </c>
      <c r="G31" s="248"/>
      <c r="H31" s="221">
        <v>0.3</v>
      </c>
      <c r="I31" s="37">
        <f>Z45</f>
        <v>0</v>
      </c>
      <c r="J31" s="37">
        <f t="shared" si="3"/>
        <v>0</v>
      </c>
      <c r="K31" s="156" t="s">
        <v>30</v>
      </c>
      <c r="L31" s="76" t="s">
        <v>30</v>
      </c>
      <c r="M31" s="79">
        <f>J31*H31</f>
        <v>0</v>
      </c>
      <c r="N31" s="154">
        <f t="shared" si="0"/>
        <v>0</v>
      </c>
      <c r="O31" s="80"/>
      <c r="P31" s="27"/>
      <c r="Q31" s="27"/>
      <c r="R31" s="4"/>
      <c r="S31" s="4">
        <f>IF($O31=S$17,$N31,0)</f>
        <v>0</v>
      </c>
      <c r="T31" s="4">
        <f t="shared" si="1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1"/>
        <v>0</v>
      </c>
      <c r="AB31" s="4">
        <f t="shared" si="1"/>
        <v>0</v>
      </c>
      <c r="AC31" s="4">
        <f t="shared" si="1"/>
        <v>0</v>
      </c>
      <c r="AD31" s="4">
        <f t="shared" si="1"/>
        <v>0</v>
      </c>
      <c r="AE31" s="4">
        <f t="shared" si="1"/>
        <v>0</v>
      </c>
      <c r="AF31" s="4">
        <f t="shared" si="1"/>
        <v>0</v>
      </c>
      <c r="AG31" s="4">
        <f>IF($O31=AG$17,$N31,0)</f>
        <v>0</v>
      </c>
    </row>
    <row r="32" spans="1:28" ht="12.75">
      <c r="A32" s="140" t="s">
        <v>63</v>
      </c>
      <c r="B32" s="129"/>
      <c r="C32" s="218"/>
      <c r="D32" s="135"/>
      <c r="E32" s="136"/>
      <c r="F32" s="137"/>
      <c r="G32" s="137"/>
      <c r="H32" s="163"/>
      <c r="I32" s="138"/>
      <c r="J32" s="139"/>
      <c r="K32" s="139"/>
      <c r="L32" s="138"/>
      <c r="M32" s="136"/>
      <c r="N32" s="139"/>
      <c r="O32" s="219"/>
      <c r="P32" s="27"/>
      <c r="Q32" s="27"/>
      <c r="R32" s="4"/>
      <c r="AB32" s="36"/>
    </row>
    <row r="33" spans="1:33" ht="25.5" customHeight="1">
      <c r="A33" s="147" t="s">
        <v>141</v>
      </c>
      <c r="B33" s="234"/>
      <c r="C33" s="1"/>
      <c r="D33" s="217"/>
      <c r="E33" s="78">
        <f>1/12*(0.95*C33+$B$13*D33)*43560</f>
        <v>0</v>
      </c>
      <c r="F33" s="247" t="s">
        <v>75</v>
      </c>
      <c r="G33" s="248"/>
      <c r="H33" s="221">
        <v>1</v>
      </c>
      <c r="I33" s="37">
        <f>AA45</f>
        <v>0</v>
      </c>
      <c r="J33" s="37">
        <f t="shared" si="3"/>
        <v>0</v>
      </c>
      <c r="K33" s="156" t="s">
        <v>30</v>
      </c>
      <c r="L33" s="111"/>
      <c r="M33" s="79">
        <f>IF(L33*H33&lt;=J33,L33*H33,J33)</f>
        <v>0</v>
      </c>
      <c r="N33" s="154">
        <f t="shared" si="0"/>
        <v>0</v>
      </c>
      <c r="O33" s="80"/>
      <c r="P33" s="27"/>
      <c r="Q33" s="27"/>
      <c r="R33" s="4"/>
      <c r="S33" s="4">
        <f>IF($O33=S$17,$N33,0)</f>
        <v>0</v>
      </c>
      <c r="T33" s="4">
        <f t="shared" si="1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1"/>
        <v>0</v>
      </c>
      <c r="AB33" s="4">
        <f t="shared" si="1"/>
        <v>0</v>
      </c>
      <c r="AC33" s="4">
        <f t="shared" si="1"/>
        <v>0</v>
      </c>
      <c r="AD33" s="4">
        <f t="shared" si="1"/>
        <v>0</v>
      </c>
      <c r="AE33" s="4">
        <f t="shared" si="1"/>
        <v>0</v>
      </c>
      <c r="AF33" s="4">
        <f t="shared" si="1"/>
        <v>0</v>
      </c>
      <c r="AG33" s="4">
        <f>IF($O33=AG$17,$N33,0)</f>
        <v>0</v>
      </c>
    </row>
    <row r="34" spans="1:28" ht="12.75">
      <c r="A34" s="140" t="s">
        <v>64</v>
      </c>
      <c r="B34" s="129"/>
      <c r="C34" s="218"/>
      <c r="D34" s="135"/>
      <c r="E34" s="136"/>
      <c r="F34" s="137"/>
      <c r="G34" s="137"/>
      <c r="H34" s="163"/>
      <c r="I34" s="138"/>
      <c r="J34" s="139"/>
      <c r="K34" s="139"/>
      <c r="L34" s="138"/>
      <c r="M34" s="136"/>
      <c r="N34" s="139"/>
      <c r="O34" s="219"/>
      <c r="P34" s="27"/>
      <c r="Q34" s="27"/>
      <c r="R34" s="4"/>
      <c r="AB34" s="36"/>
    </row>
    <row r="35" spans="1:33" ht="25.5" customHeight="1">
      <c r="A35" s="147" t="s">
        <v>142</v>
      </c>
      <c r="B35" s="234"/>
      <c r="C35" s="1"/>
      <c r="D35" s="217"/>
      <c r="E35" s="78">
        <f>1/12*(0.95*C35+$B$13*D35)*43560</f>
        <v>0</v>
      </c>
      <c r="F35" s="247" t="s">
        <v>75</v>
      </c>
      <c r="G35" s="248"/>
      <c r="H35" s="221">
        <v>1</v>
      </c>
      <c r="I35" s="37">
        <f>AB45</f>
        <v>0</v>
      </c>
      <c r="J35" s="37">
        <f t="shared" si="3"/>
        <v>0</v>
      </c>
      <c r="K35" s="156" t="s">
        <v>30</v>
      </c>
      <c r="L35" s="111"/>
      <c r="M35" s="79">
        <f>IF(L35*H35&lt;=J35,L35*H35,J35)</f>
        <v>0</v>
      </c>
      <c r="N35" s="154">
        <f t="shared" si="0"/>
        <v>0</v>
      </c>
      <c r="O35" s="80"/>
      <c r="P35" s="27"/>
      <c r="Q35" s="27"/>
      <c r="R35" s="4"/>
      <c r="S35" s="4">
        <f aca="true" t="shared" si="4" ref="S35:AE35">IF($O35=S$17,$N35,0)</f>
        <v>0</v>
      </c>
      <c r="T35" s="4">
        <f t="shared" si="4"/>
        <v>0</v>
      </c>
      <c r="U35" s="4">
        <f t="shared" si="4"/>
        <v>0</v>
      </c>
      <c r="V35" s="4">
        <f t="shared" si="4"/>
        <v>0</v>
      </c>
      <c r="W35" s="4">
        <f t="shared" si="4"/>
        <v>0</v>
      </c>
      <c r="X35" s="4">
        <f t="shared" si="4"/>
        <v>0</v>
      </c>
      <c r="Y35" s="4">
        <f t="shared" si="4"/>
        <v>0</v>
      </c>
      <c r="Z35" s="4">
        <f t="shared" si="4"/>
        <v>0</v>
      </c>
      <c r="AA35" s="4">
        <f t="shared" si="4"/>
        <v>0</v>
      </c>
      <c r="AB35" s="4">
        <f t="shared" si="4"/>
        <v>0</v>
      </c>
      <c r="AC35" s="4">
        <f t="shared" si="4"/>
        <v>0</v>
      </c>
      <c r="AD35" s="4">
        <f t="shared" si="4"/>
        <v>0</v>
      </c>
      <c r="AE35" s="4">
        <f t="shared" si="4"/>
        <v>0</v>
      </c>
      <c r="AF35" s="4">
        <f>IF($O35=AF$17,$N35,0)</f>
        <v>0</v>
      </c>
      <c r="AG35" s="4">
        <f>IF($O35=AG$17,$N35,0)</f>
        <v>0</v>
      </c>
    </row>
    <row r="36" spans="1:28" ht="12.75">
      <c r="A36" s="141" t="s">
        <v>65</v>
      </c>
      <c r="B36" s="141"/>
      <c r="C36" s="218"/>
      <c r="D36" s="135"/>
      <c r="E36" s="136"/>
      <c r="F36" s="137"/>
      <c r="G36" s="137"/>
      <c r="H36" s="163"/>
      <c r="I36" s="138"/>
      <c r="J36" s="139"/>
      <c r="K36" s="139"/>
      <c r="L36" s="138"/>
      <c r="M36" s="136"/>
      <c r="N36" s="139"/>
      <c r="O36" s="219"/>
      <c r="P36" s="27"/>
      <c r="Q36" s="27"/>
      <c r="R36" s="4"/>
      <c r="AB36" s="36"/>
    </row>
    <row r="37" spans="1:33" ht="24" customHeight="1">
      <c r="A37" s="147" t="s">
        <v>83</v>
      </c>
      <c r="B37" s="234"/>
      <c r="C37" s="1"/>
      <c r="D37" s="217"/>
      <c r="E37" s="78">
        <f>1/12*(0.95*C37+$B$13*D37)*43560</f>
        <v>0</v>
      </c>
      <c r="F37" s="247" t="s">
        <v>75</v>
      </c>
      <c r="G37" s="248"/>
      <c r="H37" s="221">
        <v>1</v>
      </c>
      <c r="I37" s="37">
        <f>AC45</f>
        <v>0</v>
      </c>
      <c r="J37" s="128">
        <f t="shared" si="3"/>
        <v>0</v>
      </c>
      <c r="K37" s="156" t="s">
        <v>30</v>
      </c>
      <c r="L37" s="111"/>
      <c r="M37" s="79">
        <f>IF(L37*H37&lt;=J37,L37*H37,J37)</f>
        <v>0</v>
      </c>
      <c r="N37" s="154">
        <f t="shared" si="0"/>
        <v>0</v>
      </c>
      <c r="O37" s="80"/>
      <c r="P37" s="27"/>
      <c r="Q37" s="27"/>
      <c r="R37" s="4"/>
      <c r="S37" s="4">
        <f>IF($O37=S$17,$N37,0)</f>
        <v>0</v>
      </c>
      <c r="T37" s="4">
        <f aca="true" t="shared" si="5" ref="T37:AF37">IF($O37=T$17,$N37,0)</f>
        <v>0</v>
      </c>
      <c r="U37" s="4">
        <f t="shared" si="5"/>
        <v>0</v>
      </c>
      <c r="V37" s="4">
        <f t="shared" si="5"/>
        <v>0</v>
      </c>
      <c r="W37" s="4">
        <f t="shared" si="5"/>
        <v>0</v>
      </c>
      <c r="X37" s="4">
        <f t="shared" si="5"/>
        <v>0</v>
      </c>
      <c r="Y37" s="4">
        <f t="shared" si="5"/>
        <v>0</v>
      </c>
      <c r="Z37" s="4">
        <f t="shared" si="5"/>
        <v>0</v>
      </c>
      <c r="AA37" s="4">
        <f t="shared" si="5"/>
        <v>0</v>
      </c>
      <c r="AB37" s="4">
        <f t="shared" si="5"/>
        <v>0</v>
      </c>
      <c r="AC37" s="4">
        <f t="shared" si="5"/>
        <v>0</v>
      </c>
      <c r="AD37" s="4">
        <f t="shared" si="5"/>
        <v>0</v>
      </c>
      <c r="AE37" s="4">
        <f t="shared" si="5"/>
        <v>0</v>
      </c>
      <c r="AF37" s="4">
        <f t="shared" si="5"/>
        <v>0</v>
      </c>
      <c r="AG37" s="4">
        <f>IF($O37=AG$17,$N37,0)</f>
        <v>0</v>
      </c>
    </row>
    <row r="38" spans="1:28" ht="12.75">
      <c r="A38" s="144" t="s">
        <v>66</v>
      </c>
      <c r="B38" s="141"/>
      <c r="C38" s="218"/>
      <c r="D38" s="135"/>
      <c r="E38" s="136"/>
      <c r="F38" s="137"/>
      <c r="G38" s="137"/>
      <c r="H38" s="163"/>
      <c r="I38" s="138"/>
      <c r="J38" s="139"/>
      <c r="K38" s="139"/>
      <c r="L38" s="138"/>
      <c r="M38" s="136"/>
      <c r="N38" s="139"/>
      <c r="O38" s="219"/>
      <c r="P38" s="27"/>
      <c r="Q38" s="27"/>
      <c r="R38" s="4"/>
      <c r="AB38" s="36"/>
    </row>
    <row r="39" spans="1:33" ht="25.5" customHeight="1">
      <c r="A39" s="147" t="s">
        <v>84</v>
      </c>
      <c r="B39" s="234"/>
      <c r="C39" s="1"/>
      <c r="D39" s="217"/>
      <c r="E39" s="78">
        <f>1/12*(0.95*C39+$B$13*D39)*43560</f>
        <v>0</v>
      </c>
      <c r="F39" s="247" t="s">
        <v>132</v>
      </c>
      <c r="G39" s="248"/>
      <c r="H39" s="221">
        <v>0.1</v>
      </c>
      <c r="I39" s="37">
        <f>AD45</f>
        <v>0</v>
      </c>
      <c r="J39" s="37">
        <f t="shared" si="3"/>
        <v>0</v>
      </c>
      <c r="K39" s="156" t="s">
        <v>30</v>
      </c>
      <c r="L39" s="37" t="s">
        <v>30</v>
      </c>
      <c r="M39" s="79">
        <f>J39*H39</f>
        <v>0</v>
      </c>
      <c r="N39" s="154">
        <f t="shared" si="0"/>
        <v>0</v>
      </c>
      <c r="O39" s="80"/>
      <c r="P39" s="27"/>
      <c r="Q39" s="27"/>
      <c r="R39" s="4"/>
      <c r="S39" s="4">
        <f>IF($O39=S$17,$N39,0)</f>
        <v>0</v>
      </c>
      <c r="T39" s="4">
        <f aca="true" t="shared" si="6" ref="T39:AF39">IF($O39=T$17,$N39,0)</f>
        <v>0</v>
      </c>
      <c r="U39" s="4">
        <f t="shared" si="6"/>
        <v>0</v>
      </c>
      <c r="V39" s="4">
        <f t="shared" si="6"/>
        <v>0</v>
      </c>
      <c r="W39" s="4">
        <f t="shared" si="6"/>
        <v>0</v>
      </c>
      <c r="X39" s="4">
        <f t="shared" si="6"/>
        <v>0</v>
      </c>
      <c r="Y39" s="4">
        <f t="shared" si="6"/>
        <v>0</v>
      </c>
      <c r="Z39" s="4">
        <f t="shared" si="6"/>
        <v>0</v>
      </c>
      <c r="AA39" s="4">
        <f t="shared" si="6"/>
        <v>0</v>
      </c>
      <c r="AB39" s="4">
        <f t="shared" si="6"/>
        <v>0</v>
      </c>
      <c r="AC39" s="4">
        <f t="shared" si="6"/>
        <v>0</v>
      </c>
      <c r="AD39" s="4">
        <f t="shared" si="6"/>
        <v>0</v>
      </c>
      <c r="AE39" s="4">
        <f t="shared" si="6"/>
        <v>0</v>
      </c>
      <c r="AF39" s="4">
        <f t="shared" si="6"/>
        <v>0</v>
      </c>
      <c r="AG39" s="4">
        <f>IF($O39=AG$17,$N39,0)</f>
        <v>0</v>
      </c>
    </row>
    <row r="40" spans="1:28" ht="12.75">
      <c r="A40" s="145" t="s">
        <v>67</v>
      </c>
      <c r="B40" s="145"/>
      <c r="C40" s="218"/>
      <c r="D40" s="135"/>
      <c r="E40" s="136"/>
      <c r="F40" s="137"/>
      <c r="G40" s="137"/>
      <c r="H40" s="163"/>
      <c r="I40" s="138"/>
      <c r="J40" s="139"/>
      <c r="K40" s="139"/>
      <c r="L40" s="138"/>
      <c r="M40" s="136"/>
      <c r="N40" s="139"/>
      <c r="O40" s="219"/>
      <c r="P40" s="27"/>
      <c r="Q40" s="27"/>
      <c r="R40" s="4"/>
      <c r="AB40" s="36"/>
    </row>
    <row r="41" spans="1:28" ht="38.25" customHeight="1">
      <c r="A41" s="149" t="s">
        <v>85</v>
      </c>
      <c r="B41" s="235"/>
      <c r="C41" s="1"/>
      <c r="D41" s="217"/>
      <c r="E41" s="78">
        <f>1/12*(0.95*C41+$B$13*D41)*43560</f>
        <v>0</v>
      </c>
      <c r="F41" s="247" t="s">
        <v>101</v>
      </c>
      <c r="G41" s="248"/>
      <c r="H41" s="221" t="s">
        <v>30</v>
      </c>
      <c r="I41" s="37">
        <f>AE45</f>
        <v>0</v>
      </c>
      <c r="J41" s="37">
        <f t="shared" si="3"/>
        <v>0</v>
      </c>
      <c r="K41" s="215"/>
      <c r="L41" s="76" t="s">
        <v>30</v>
      </c>
      <c r="M41" s="79">
        <f>IF(K41*0.09&lt;=J41,K41*0.09,J41)</f>
        <v>0</v>
      </c>
      <c r="N41" s="154">
        <f t="shared" si="0"/>
        <v>0</v>
      </c>
      <c r="O41" s="220" t="s">
        <v>30</v>
      </c>
      <c r="P41" s="27"/>
      <c r="Q41" s="27"/>
      <c r="R41" s="4"/>
      <c r="AB41" s="36"/>
    </row>
    <row r="42" spans="1:28" ht="38.25" customHeight="1">
      <c r="A42" s="149" t="s">
        <v>86</v>
      </c>
      <c r="B42" s="235"/>
      <c r="C42" s="1"/>
      <c r="D42" s="217"/>
      <c r="E42" s="78">
        <f>1/12*(0.95*C42+$B$13*D42)*43560</f>
        <v>0</v>
      </c>
      <c r="F42" s="247" t="s">
        <v>102</v>
      </c>
      <c r="G42" s="248"/>
      <c r="H42" s="221" t="s">
        <v>30</v>
      </c>
      <c r="I42" s="37">
        <f>AF45</f>
        <v>0</v>
      </c>
      <c r="J42" s="37">
        <f t="shared" si="3"/>
        <v>0</v>
      </c>
      <c r="K42" s="215"/>
      <c r="L42" s="76" t="s">
        <v>30</v>
      </c>
      <c r="M42" s="79">
        <f>IF(K42*0.06&lt;=J42,K42*0.06,J42)</f>
        <v>0</v>
      </c>
      <c r="N42" s="154">
        <f t="shared" si="0"/>
        <v>0</v>
      </c>
      <c r="O42" s="220" t="s">
        <v>30</v>
      </c>
      <c r="P42" s="27"/>
      <c r="Q42" s="27"/>
      <c r="R42" s="4"/>
      <c r="AB42" s="36"/>
    </row>
    <row r="43" spans="1:28" ht="38.25" customHeight="1">
      <c r="A43" s="148" t="s">
        <v>137</v>
      </c>
      <c r="B43" s="236"/>
      <c r="C43" s="1"/>
      <c r="D43" s="217"/>
      <c r="E43" s="78">
        <f>1/12*(0.95*C43+$B$13*D43)*43560</f>
        <v>0</v>
      </c>
      <c r="F43" s="247" t="s">
        <v>102</v>
      </c>
      <c r="G43" s="248"/>
      <c r="H43" s="221" t="s">
        <v>30</v>
      </c>
      <c r="I43" s="37">
        <f>AG45</f>
        <v>0</v>
      </c>
      <c r="J43" s="37">
        <f t="shared" si="3"/>
        <v>0</v>
      </c>
      <c r="K43" s="215"/>
      <c r="L43" s="76" t="s">
        <v>30</v>
      </c>
      <c r="M43" s="79">
        <f>IF(K43*0.06&lt;=J43,K43*0.06,J43)</f>
        <v>0</v>
      </c>
      <c r="N43" s="154">
        <f t="shared" si="0"/>
        <v>0</v>
      </c>
      <c r="O43" s="220" t="s">
        <v>30</v>
      </c>
      <c r="P43" s="27"/>
      <c r="Q43" s="27"/>
      <c r="R43" s="4"/>
      <c r="AB43" s="36"/>
    </row>
    <row r="44" spans="1:33" ht="25.5" customHeight="1">
      <c r="A44" s="252" t="s">
        <v>7</v>
      </c>
      <c r="B44" s="253"/>
      <c r="C44" s="81">
        <f>SUM(C17:C43)</f>
        <v>0</v>
      </c>
      <c r="D44" s="82">
        <f>SUM(D17:D43)</f>
        <v>0</v>
      </c>
      <c r="E44" s="94"/>
      <c r="F44" s="249" t="s">
        <v>127</v>
      </c>
      <c r="G44" s="249"/>
      <c r="H44" s="249"/>
      <c r="I44" s="249"/>
      <c r="J44" s="249"/>
      <c r="K44" s="249"/>
      <c r="L44" s="257"/>
      <c r="M44" s="150">
        <f>SUM(M17:M43)</f>
        <v>0</v>
      </c>
      <c r="N44" s="244" t="s">
        <v>123</v>
      </c>
      <c r="O44" s="245"/>
      <c r="P44" s="205"/>
      <c r="Q44" s="40"/>
      <c r="R44" s="40"/>
      <c r="S44" s="9"/>
      <c r="T44" s="9"/>
      <c r="U44" s="9"/>
      <c r="V44" s="9"/>
      <c r="W44" s="9"/>
      <c r="X44" s="9"/>
      <c r="Y44" s="9"/>
      <c r="Z44" s="9"/>
      <c r="AA44" s="9"/>
      <c r="AB44" s="58"/>
      <c r="AC44" s="58"/>
      <c r="AD44" s="58"/>
      <c r="AE44" s="58"/>
      <c r="AF44" s="58"/>
      <c r="AG44" s="58"/>
    </row>
    <row r="45" spans="1:33" ht="12.75">
      <c r="A45" s="63"/>
      <c r="B45" s="63"/>
      <c r="C45" s="64"/>
      <c r="D45" s="64"/>
      <c r="E45" s="64"/>
      <c r="F45" s="5"/>
      <c r="G45" s="5"/>
      <c r="H45" s="5"/>
      <c r="R45" s="40" t="s">
        <v>7</v>
      </c>
      <c r="S45" s="40">
        <f aca="true" t="shared" si="7" ref="S45:AG45">SUM(S17:S44)</f>
        <v>0</v>
      </c>
      <c r="T45" s="40">
        <f t="shared" si="7"/>
        <v>0</v>
      </c>
      <c r="U45" s="40">
        <f t="shared" si="7"/>
        <v>0</v>
      </c>
      <c r="V45" s="40">
        <f t="shared" si="7"/>
        <v>0</v>
      </c>
      <c r="W45" s="40">
        <f t="shared" si="7"/>
        <v>0</v>
      </c>
      <c r="X45" s="40">
        <f t="shared" si="7"/>
        <v>0</v>
      </c>
      <c r="Y45" s="40">
        <f t="shared" si="7"/>
        <v>0</v>
      </c>
      <c r="Z45" s="40">
        <f t="shared" si="7"/>
        <v>0</v>
      </c>
      <c r="AA45" s="40">
        <f t="shared" si="7"/>
        <v>0</v>
      </c>
      <c r="AB45" s="40">
        <f t="shared" si="7"/>
        <v>0</v>
      </c>
      <c r="AC45" s="40">
        <f t="shared" si="7"/>
        <v>0</v>
      </c>
      <c r="AD45" s="40">
        <f t="shared" si="7"/>
        <v>0</v>
      </c>
      <c r="AE45" s="40">
        <f t="shared" si="7"/>
        <v>0</v>
      </c>
      <c r="AF45" s="40">
        <f t="shared" si="7"/>
        <v>0</v>
      </c>
      <c r="AG45" s="40">
        <f t="shared" si="7"/>
        <v>0</v>
      </c>
    </row>
    <row r="46" spans="1:28" ht="12.75">
      <c r="A46" s="63"/>
      <c r="B46" s="63"/>
      <c r="C46" s="64"/>
      <c r="D46" s="64"/>
      <c r="E46" s="64"/>
      <c r="F46" s="5"/>
      <c r="G46" s="5"/>
      <c r="H46" s="5"/>
      <c r="I46" s="256" t="s">
        <v>149</v>
      </c>
      <c r="J46" s="256"/>
      <c r="K46" s="256"/>
      <c r="L46" s="256"/>
      <c r="M46" s="226">
        <f>F15-M44</f>
        <v>0</v>
      </c>
      <c r="R46" s="5"/>
      <c r="T46" s="6"/>
      <c r="U46" s="6"/>
      <c r="V46" s="6"/>
      <c r="W46" s="6"/>
      <c r="AB46" s="36"/>
    </row>
    <row r="47" spans="1:61" s="9" customFormat="1" ht="12.75">
      <c r="A47" s="15"/>
      <c r="B47" s="15"/>
      <c r="C47" s="77"/>
      <c r="D47" s="64"/>
      <c r="E47" s="6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6"/>
      <c r="U47" s="6"/>
      <c r="V47" s="6"/>
      <c r="W47" s="6"/>
      <c r="X47" s="4"/>
      <c r="Y47" s="4"/>
      <c r="Z47" s="4"/>
      <c r="AA47" s="4"/>
      <c r="AB47" s="36"/>
      <c r="AC47" s="36"/>
      <c r="AD47" s="36"/>
      <c r="AE47" s="36"/>
      <c r="AF47" s="36"/>
      <c r="AG47" s="36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</row>
    <row r="48" spans="1:28" ht="12.75">
      <c r="A48" s="246"/>
      <c r="B48" s="246"/>
      <c r="C48" s="246"/>
      <c r="D48" s="246"/>
      <c r="E48" s="100"/>
      <c r="F48" s="5"/>
      <c r="G48" s="5"/>
      <c r="H48" s="5"/>
      <c r="L48" s="5"/>
      <c r="M48" s="5"/>
      <c r="R48" s="5"/>
      <c r="T48" s="6"/>
      <c r="U48" s="6"/>
      <c r="V48" s="6"/>
      <c r="W48" s="6"/>
      <c r="AB48" s="36"/>
    </row>
    <row r="49" spans="1:28" ht="12.75">
      <c r="A49" s="246"/>
      <c r="B49" s="246"/>
      <c r="C49" s="246"/>
      <c r="D49" s="246"/>
      <c r="E49" s="101"/>
      <c r="F49" s="5"/>
      <c r="G49" s="5"/>
      <c r="H49" s="5"/>
      <c r="L49" s="5"/>
      <c r="M49" s="5"/>
      <c r="R49" s="5"/>
      <c r="T49" s="6"/>
      <c r="U49" s="6"/>
      <c r="V49" s="6"/>
      <c r="W49" s="6"/>
      <c r="AB49" s="36"/>
    </row>
    <row r="50" spans="1:28" ht="12.75" hidden="1">
      <c r="A50" s="96" t="s">
        <v>88</v>
      </c>
      <c r="B50" s="229"/>
      <c r="C50" s="64"/>
      <c r="D50" s="35"/>
      <c r="E50" s="35"/>
      <c r="F50" s="35"/>
      <c r="G50" s="35"/>
      <c r="H50" s="35"/>
      <c r="I50" s="35"/>
      <c r="K50" s="161"/>
      <c r="L50" s="161"/>
      <c r="M50" s="161"/>
      <c r="N50" s="161"/>
      <c r="O50" s="161"/>
      <c r="R50" s="5"/>
      <c r="T50" s="6"/>
      <c r="U50" s="6"/>
      <c r="V50" s="6"/>
      <c r="W50" s="6"/>
      <c r="AB50" s="36"/>
    </row>
    <row r="51" spans="1:28" ht="25.5" hidden="1">
      <c r="A51" s="146" t="s">
        <v>76</v>
      </c>
      <c r="B51" s="230"/>
      <c r="C51" s="64"/>
      <c r="D51" s="64"/>
      <c r="E51" s="5"/>
      <c r="L51" s="5"/>
      <c r="M51" s="5"/>
      <c r="R51" s="5"/>
      <c r="T51" s="6"/>
      <c r="U51" s="6"/>
      <c r="V51" s="6"/>
      <c r="W51" s="6"/>
      <c r="AB51" s="36"/>
    </row>
    <row r="52" spans="1:28" ht="12.75" hidden="1">
      <c r="A52" s="146" t="s">
        <v>77</v>
      </c>
      <c r="B52" s="230"/>
      <c r="C52" s="64"/>
      <c r="L52" s="5"/>
      <c r="M52" s="5"/>
      <c r="R52" s="5"/>
      <c r="T52" s="6"/>
      <c r="U52" s="6"/>
      <c r="V52" s="6"/>
      <c r="W52" s="6"/>
      <c r="AB52" s="36"/>
    </row>
    <row r="53" spans="1:28" ht="12.75" customHeight="1" hidden="1">
      <c r="A53" s="146" t="s">
        <v>78</v>
      </c>
      <c r="B53" s="230"/>
      <c r="C53" s="64"/>
      <c r="D53" s="64"/>
      <c r="E53" s="157"/>
      <c r="F53" s="5"/>
      <c r="I53" s="159"/>
      <c r="L53" s="157"/>
      <c r="M53" s="5"/>
      <c r="O53" s="157"/>
      <c r="R53" s="5"/>
      <c r="T53" s="6"/>
      <c r="U53" s="6"/>
      <c r="V53" s="6"/>
      <c r="W53" s="6"/>
      <c r="AB53" s="36"/>
    </row>
    <row r="54" spans="1:28" ht="25.5" customHeight="1" hidden="1">
      <c r="A54" s="146" t="s">
        <v>79</v>
      </c>
      <c r="B54" s="230"/>
      <c r="C54" s="64"/>
      <c r="D54" s="64"/>
      <c r="E54" s="157"/>
      <c r="F54" s="5"/>
      <c r="I54" s="159"/>
      <c r="L54" s="157"/>
      <c r="M54" s="5"/>
      <c r="O54" s="157"/>
      <c r="R54" s="5"/>
      <c r="T54" s="6"/>
      <c r="U54" s="6"/>
      <c r="V54" s="6"/>
      <c r="W54" s="6"/>
      <c r="AB54" s="36"/>
    </row>
    <row r="55" spans="1:28" ht="12.75" customHeight="1" hidden="1">
      <c r="A55" s="147" t="s">
        <v>80</v>
      </c>
      <c r="B55" s="43"/>
      <c r="C55" s="64"/>
      <c r="D55" s="64"/>
      <c r="E55" s="157"/>
      <c r="F55" s="5"/>
      <c r="I55" s="159"/>
      <c r="L55" s="157"/>
      <c r="M55" s="5"/>
      <c r="O55" s="157"/>
      <c r="R55" s="5"/>
      <c r="T55" s="6"/>
      <c r="U55" s="6"/>
      <c r="V55" s="6"/>
      <c r="W55" s="6"/>
      <c r="AB55" s="36"/>
    </row>
    <row r="56" spans="1:28" ht="12.75" customHeight="1" hidden="1">
      <c r="A56" s="147" t="s">
        <v>81</v>
      </c>
      <c r="B56" s="43"/>
      <c r="C56" s="64"/>
      <c r="D56" s="64"/>
      <c r="E56" s="157"/>
      <c r="F56" s="5"/>
      <c r="I56" s="159"/>
      <c r="L56" s="157"/>
      <c r="M56" s="5"/>
      <c r="O56" s="157"/>
      <c r="R56" s="5"/>
      <c r="T56" s="6"/>
      <c r="U56" s="6"/>
      <c r="V56" s="6"/>
      <c r="W56" s="6"/>
      <c r="AB56" s="36"/>
    </row>
    <row r="57" spans="1:28" ht="12.75" customHeight="1" hidden="1">
      <c r="A57" s="147" t="s">
        <v>82</v>
      </c>
      <c r="B57" s="43"/>
      <c r="C57" s="64"/>
      <c r="D57" s="64"/>
      <c r="E57" s="157"/>
      <c r="F57" s="5"/>
      <c r="I57" s="159"/>
      <c r="L57" s="157"/>
      <c r="M57" s="5"/>
      <c r="O57" s="157"/>
      <c r="R57" s="5"/>
      <c r="T57" s="6"/>
      <c r="U57" s="6"/>
      <c r="V57" s="6"/>
      <c r="W57" s="6"/>
      <c r="AB57" s="36"/>
    </row>
    <row r="58" spans="1:28" ht="12.75" customHeight="1" hidden="1">
      <c r="A58" s="147" t="s">
        <v>141</v>
      </c>
      <c r="B58" s="43"/>
      <c r="C58" s="64"/>
      <c r="D58" s="64"/>
      <c r="E58" s="157"/>
      <c r="F58" s="5"/>
      <c r="I58" s="159"/>
      <c r="L58" s="157"/>
      <c r="M58" s="5"/>
      <c r="O58" s="157"/>
      <c r="R58" s="5"/>
      <c r="T58" s="6"/>
      <c r="U58" s="6"/>
      <c r="V58" s="6"/>
      <c r="W58" s="6"/>
      <c r="AB58" s="36"/>
    </row>
    <row r="59" spans="1:28" ht="12.75" customHeight="1" hidden="1">
      <c r="A59" s="147" t="s">
        <v>142</v>
      </c>
      <c r="B59" s="43"/>
      <c r="C59" s="64"/>
      <c r="D59" s="64"/>
      <c r="E59" s="157"/>
      <c r="F59" s="5"/>
      <c r="I59" s="159"/>
      <c r="L59" s="157"/>
      <c r="M59" s="5"/>
      <c r="O59" s="157"/>
      <c r="R59" s="5"/>
      <c r="T59" s="6"/>
      <c r="U59" s="6"/>
      <c r="V59" s="6"/>
      <c r="W59" s="6"/>
      <c r="AB59" s="36"/>
    </row>
    <row r="60" spans="1:28" ht="12.75" customHeight="1" hidden="1">
      <c r="A60" s="147" t="s">
        <v>83</v>
      </c>
      <c r="B60" s="43"/>
      <c r="C60" s="64"/>
      <c r="D60" s="64"/>
      <c r="E60" s="157"/>
      <c r="F60" s="5"/>
      <c r="I60" s="159"/>
      <c r="L60" s="157"/>
      <c r="M60" s="5"/>
      <c r="O60" s="157"/>
      <c r="R60" s="5"/>
      <c r="T60" s="6"/>
      <c r="U60" s="6"/>
      <c r="V60" s="6"/>
      <c r="W60" s="6"/>
      <c r="AB60" s="36"/>
    </row>
    <row r="61" spans="1:28" ht="12.75" customHeight="1" hidden="1">
      <c r="A61" s="152" t="s">
        <v>84</v>
      </c>
      <c r="B61" s="43"/>
      <c r="C61" s="64"/>
      <c r="D61" s="64"/>
      <c r="E61" s="157"/>
      <c r="F61" s="5"/>
      <c r="I61" s="159"/>
      <c r="L61" s="157"/>
      <c r="M61" s="5"/>
      <c r="O61" s="157"/>
      <c r="R61" s="5"/>
      <c r="T61" s="6"/>
      <c r="U61" s="6"/>
      <c r="V61" s="6"/>
      <c r="W61" s="6"/>
      <c r="AB61" s="36"/>
    </row>
    <row r="62" spans="1:28" ht="12.75" customHeight="1" hidden="1">
      <c r="A62" s="153" t="s">
        <v>85</v>
      </c>
      <c r="B62" s="222"/>
      <c r="C62" s="64"/>
      <c r="D62" s="64"/>
      <c r="E62" s="157"/>
      <c r="F62" s="5"/>
      <c r="I62" s="159"/>
      <c r="L62" s="157"/>
      <c r="M62" s="5"/>
      <c r="O62" s="157"/>
      <c r="R62" s="5"/>
      <c r="T62" s="6"/>
      <c r="U62" s="6"/>
      <c r="V62" s="6"/>
      <c r="W62" s="6"/>
      <c r="AB62" s="36"/>
    </row>
    <row r="63" spans="1:28" ht="12.75" customHeight="1" hidden="1">
      <c r="A63" s="153" t="s">
        <v>86</v>
      </c>
      <c r="B63" s="222"/>
      <c r="C63" s="64"/>
      <c r="D63" s="64"/>
      <c r="E63" s="157"/>
      <c r="F63" s="5"/>
      <c r="I63" s="159"/>
      <c r="L63" s="157"/>
      <c r="M63" s="5"/>
      <c r="O63" s="157"/>
      <c r="R63" s="5"/>
      <c r="T63" s="6"/>
      <c r="U63" s="6"/>
      <c r="V63" s="6"/>
      <c r="W63" s="6"/>
      <c r="AB63" s="36"/>
    </row>
    <row r="64" spans="1:28" ht="12.75" customHeight="1" hidden="1">
      <c r="A64" s="153" t="s">
        <v>87</v>
      </c>
      <c r="B64" s="222"/>
      <c r="C64" s="6"/>
      <c r="D64" s="64"/>
      <c r="E64" s="157"/>
      <c r="F64" s="6"/>
      <c r="I64" s="159"/>
      <c r="L64" s="157"/>
      <c r="M64" s="6"/>
      <c r="O64" s="157"/>
      <c r="P64" s="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36"/>
    </row>
    <row r="65" spans="1:48" ht="18">
      <c r="A65" s="87"/>
      <c r="B65" s="87"/>
      <c r="C65" s="36"/>
      <c r="D65" s="64"/>
      <c r="E65" s="200"/>
      <c r="F65" s="36"/>
      <c r="I65" s="159"/>
      <c r="L65" s="200"/>
      <c r="M65" s="34"/>
      <c r="O65" s="200"/>
      <c r="P65" s="64"/>
      <c r="Q65" s="64"/>
      <c r="R65" s="64"/>
      <c r="T65" s="109"/>
      <c r="U65" s="109"/>
      <c r="V65" s="109"/>
      <c r="W65" s="109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</row>
    <row r="66" spans="1:48" ht="18">
      <c r="A66" s="87"/>
      <c r="B66" s="87"/>
      <c r="C66" s="36"/>
      <c r="D66" s="64"/>
      <c r="E66" s="200"/>
      <c r="F66" s="87"/>
      <c r="I66" s="159"/>
      <c r="L66" s="200"/>
      <c r="M66" s="34"/>
      <c r="O66" s="200"/>
      <c r="P66" s="64"/>
      <c r="Q66" s="64"/>
      <c r="R66" s="64"/>
      <c r="T66" s="109"/>
      <c r="U66" s="109"/>
      <c r="V66" s="109"/>
      <c r="W66" s="109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</row>
    <row r="67" spans="1:19" ht="26.25" customHeight="1">
      <c r="A67" s="88"/>
      <c r="B67" s="88"/>
      <c r="C67" s="36"/>
      <c r="D67" s="64"/>
      <c r="E67" s="200"/>
      <c r="F67" s="87"/>
      <c r="I67" s="159"/>
      <c r="L67" s="200"/>
      <c r="M67" s="36"/>
      <c r="O67" s="200"/>
      <c r="P67" s="64"/>
      <c r="Q67" s="64"/>
      <c r="R67" s="64"/>
      <c r="S67" s="6"/>
    </row>
    <row r="68" spans="1:19" ht="26.25" customHeight="1">
      <c r="A68" s="88"/>
      <c r="B68" s="88"/>
      <c r="C68" s="36"/>
      <c r="D68" s="64"/>
      <c r="E68" s="200"/>
      <c r="F68" s="87"/>
      <c r="I68" s="159"/>
      <c r="L68" s="200"/>
      <c r="M68" s="36"/>
      <c r="O68" s="200"/>
      <c r="P68" s="38"/>
      <c r="Q68" s="4"/>
      <c r="R68" s="6"/>
      <c r="S68" s="6"/>
    </row>
    <row r="69" spans="1:23" ht="26.25" customHeight="1">
      <c r="A69" s="87"/>
      <c r="B69" s="87"/>
      <c r="C69" s="36"/>
      <c r="D69" s="88"/>
      <c r="E69" s="200"/>
      <c r="F69" s="88"/>
      <c r="I69" s="159"/>
      <c r="L69" s="200"/>
      <c r="M69" s="36"/>
      <c r="O69" s="200"/>
      <c r="P69" s="4"/>
      <c r="Q69" s="6"/>
      <c r="R69" s="6"/>
      <c r="S69" s="6"/>
      <c r="T69" s="109"/>
      <c r="U69" s="109"/>
      <c r="V69" s="109"/>
      <c r="W69" s="109"/>
    </row>
    <row r="70" spans="1:23" ht="26.25" customHeight="1">
      <c r="A70" s="89"/>
      <c r="B70" s="89"/>
      <c r="C70" s="36"/>
      <c r="D70" s="88"/>
      <c r="E70" s="200"/>
      <c r="F70" s="88"/>
      <c r="I70" s="159"/>
      <c r="L70" s="200"/>
      <c r="M70" s="36"/>
      <c r="O70" s="200"/>
      <c r="P70" s="4"/>
      <c r="Q70" s="6"/>
      <c r="R70" s="6"/>
      <c r="S70" s="6"/>
      <c r="T70" s="109"/>
      <c r="U70" s="109"/>
      <c r="V70" s="109"/>
      <c r="W70" s="109"/>
    </row>
    <row r="71" spans="1:23" ht="12.75" customHeight="1">
      <c r="A71" s="89"/>
      <c r="B71" s="89"/>
      <c r="C71" s="36"/>
      <c r="D71" s="88"/>
      <c r="E71" s="200"/>
      <c r="F71" s="87"/>
      <c r="I71" s="159"/>
      <c r="L71" s="200"/>
      <c r="M71" s="36"/>
      <c r="O71" s="200"/>
      <c r="P71" s="4"/>
      <c r="Q71" s="6"/>
      <c r="R71" s="6"/>
      <c r="S71" s="6"/>
      <c r="T71" s="109"/>
      <c r="U71" s="109"/>
      <c r="V71" s="109"/>
      <c r="W71" s="109"/>
    </row>
    <row r="72" spans="1:23" ht="12.75" customHeight="1">
      <c r="A72" s="87"/>
      <c r="B72" s="87"/>
      <c r="C72" s="42"/>
      <c r="D72" s="88"/>
      <c r="E72" s="200"/>
      <c r="F72" s="89"/>
      <c r="I72" s="159"/>
      <c r="L72" s="200"/>
      <c r="M72" s="42"/>
      <c r="O72" s="200"/>
      <c r="P72" s="4"/>
      <c r="Q72" s="6"/>
      <c r="R72" s="6"/>
      <c r="S72" s="6"/>
      <c r="T72" s="109"/>
      <c r="U72" s="109"/>
      <c r="V72" s="109"/>
      <c r="W72" s="109"/>
    </row>
    <row r="73" spans="1:19" ht="12.75">
      <c r="A73" s="87"/>
      <c r="B73" s="87"/>
      <c r="C73" s="36"/>
      <c r="D73" s="88"/>
      <c r="E73" s="200"/>
      <c r="F73" s="89"/>
      <c r="I73" s="159"/>
      <c r="L73" s="200"/>
      <c r="M73" s="42"/>
      <c r="O73" s="200"/>
      <c r="P73" s="4"/>
      <c r="Q73" s="6"/>
      <c r="R73" s="6"/>
      <c r="S73" s="6"/>
    </row>
    <row r="74" spans="1:19" ht="12.75" customHeight="1">
      <c r="A74" s="87"/>
      <c r="B74" s="87"/>
      <c r="C74" s="36"/>
      <c r="D74" s="88"/>
      <c r="E74" s="200"/>
      <c r="F74" s="87"/>
      <c r="I74" s="159"/>
      <c r="L74" s="200"/>
      <c r="M74" s="36"/>
      <c r="O74" s="200"/>
      <c r="P74" s="38"/>
      <c r="Q74" s="4"/>
      <c r="R74" s="6"/>
      <c r="S74" s="6"/>
    </row>
    <row r="75" spans="1:23" ht="12.75" customHeight="1">
      <c r="A75" s="87"/>
      <c r="B75" s="87"/>
      <c r="C75" s="36"/>
      <c r="D75" s="88"/>
      <c r="E75" s="200"/>
      <c r="F75" s="87"/>
      <c r="I75" s="159"/>
      <c r="L75" s="200"/>
      <c r="M75" s="36"/>
      <c r="O75" s="200"/>
      <c r="P75" s="4"/>
      <c r="Q75" s="6"/>
      <c r="R75" s="6"/>
      <c r="S75" s="6"/>
      <c r="T75" s="109"/>
      <c r="U75" s="109"/>
      <c r="V75" s="109"/>
      <c r="W75" s="109"/>
    </row>
    <row r="76" spans="1:23" ht="12.75" customHeight="1">
      <c r="A76" s="87"/>
      <c r="B76" s="87"/>
      <c r="C76" s="36"/>
      <c r="D76" s="88"/>
      <c r="E76" s="200"/>
      <c r="F76" s="87"/>
      <c r="I76" s="159"/>
      <c r="L76" s="200"/>
      <c r="M76" s="42"/>
      <c r="O76" s="200"/>
      <c r="P76" s="4"/>
      <c r="Q76" s="6"/>
      <c r="R76" s="6"/>
      <c r="S76" s="6"/>
      <c r="T76" s="109"/>
      <c r="U76" s="109"/>
      <c r="V76" s="109"/>
      <c r="W76" s="109"/>
    </row>
    <row r="77" spans="1:23" ht="12.75" customHeight="1">
      <c r="A77" s="87"/>
      <c r="B77" s="87"/>
      <c r="C77" s="36"/>
      <c r="D77" s="88"/>
      <c r="E77" s="200"/>
      <c r="F77" s="87"/>
      <c r="I77" s="159"/>
      <c r="L77" s="200"/>
      <c r="M77" s="36"/>
      <c r="O77" s="200"/>
      <c r="P77" s="4"/>
      <c r="Q77" s="6"/>
      <c r="R77" s="6"/>
      <c r="S77" s="6"/>
      <c r="T77" s="109"/>
      <c r="U77" s="109"/>
      <c r="V77" s="109"/>
      <c r="W77" s="109"/>
    </row>
    <row r="78" spans="1:23" ht="12.75" customHeight="1">
      <c r="A78" s="43"/>
      <c r="B78" s="43"/>
      <c r="C78" s="36"/>
      <c r="D78" s="88"/>
      <c r="E78" s="200"/>
      <c r="F78" s="87"/>
      <c r="I78" s="159"/>
      <c r="L78" s="200"/>
      <c r="M78" s="36"/>
      <c r="O78" s="200"/>
      <c r="P78" s="4"/>
      <c r="Q78" s="6"/>
      <c r="R78" s="6"/>
      <c r="S78" s="6"/>
      <c r="T78" s="109"/>
      <c r="U78" s="109"/>
      <c r="V78" s="109"/>
      <c r="W78" s="109"/>
    </row>
    <row r="79" spans="1:19" ht="12.75">
      <c r="A79" s="43"/>
      <c r="B79" s="43"/>
      <c r="C79" s="36"/>
      <c r="D79" s="88"/>
      <c r="E79" s="200"/>
      <c r="F79" s="87"/>
      <c r="I79" s="159"/>
      <c r="L79" s="200"/>
      <c r="M79" s="36"/>
      <c r="O79" s="200"/>
      <c r="P79" s="38"/>
      <c r="Q79" s="4"/>
      <c r="R79" s="6"/>
      <c r="S79" s="6"/>
    </row>
    <row r="80" spans="1:19" ht="12.75" customHeight="1">
      <c r="A80" s="43"/>
      <c r="B80" s="43"/>
      <c r="C80" s="36"/>
      <c r="D80" s="88"/>
      <c r="E80" s="200"/>
      <c r="F80" s="46"/>
      <c r="I80" s="159"/>
      <c r="L80" s="200"/>
      <c r="M80" s="36"/>
      <c r="O80" s="200"/>
      <c r="P80" s="38"/>
      <c r="Q80" s="4"/>
      <c r="R80" s="6"/>
      <c r="S80" s="6"/>
    </row>
    <row r="81" spans="1:23" ht="12.75" customHeight="1">
      <c r="A81" s="43"/>
      <c r="B81" s="43"/>
      <c r="C81" s="36"/>
      <c r="D81" s="88"/>
      <c r="E81" s="200"/>
      <c r="F81" s="36"/>
      <c r="I81" s="159"/>
      <c r="L81" s="200"/>
      <c r="M81" s="36"/>
      <c r="O81" s="200"/>
      <c r="P81" s="4"/>
      <c r="Q81" s="6"/>
      <c r="R81" s="6"/>
      <c r="S81" s="6"/>
      <c r="T81" s="109"/>
      <c r="U81" s="109"/>
      <c r="V81" s="109"/>
      <c r="W81" s="109"/>
    </row>
    <row r="82" spans="1:23" ht="12.75" customHeight="1">
      <c r="A82" s="36"/>
      <c r="B82" s="36"/>
      <c r="C82" s="36"/>
      <c r="D82" s="88"/>
      <c r="E82" s="200"/>
      <c r="F82" s="36"/>
      <c r="I82" s="159"/>
      <c r="L82" s="200"/>
      <c r="M82" s="36"/>
      <c r="O82" s="200"/>
      <c r="P82" s="4"/>
      <c r="Q82" s="4"/>
      <c r="R82" s="4"/>
      <c r="T82" s="109"/>
      <c r="U82" s="109"/>
      <c r="V82" s="109"/>
      <c r="W82" s="109"/>
    </row>
    <row r="83" spans="1:23" ht="12.75" customHeight="1">
      <c r="A83" s="36"/>
      <c r="B83" s="36"/>
      <c r="C83" s="36"/>
      <c r="D83" s="88"/>
      <c r="E83" s="200"/>
      <c r="F83" s="36"/>
      <c r="I83" s="159"/>
      <c r="L83" s="200"/>
      <c r="M83" s="36"/>
      <c r="O83" s="200"/>
      <c r="P83" s="4"/>
      <c r="Q83" s="4"/>
      <c r="R83" s="4"/>
      <c r="T83" s="109"/>
      <c r="U83" s="109"/>
      <c r="V83" s="109"/>
      <c r="W83" s="109"/>
    </row>
    <row r="84" spans="1:23" ht="12.75" customHeight="1">
      <c r="A84" s="36"/>
      <c r="B84" s="36"/>
      <c r="C84" s="36"/>
      <c r="D84" s="88"/>
      <c r="E84" s="200"/>
      <c r="F84" s="36"/>
      <c r="I84" s="159"/>
      <c r="L84" s="200"/>
      <c r="M84" s="36"/>
      <c r="O84" s="200"/>
      <c r="P84" s="4"/>
      <c r="Q84" s="4"/>
      <c r="R84" s="4"/>
      <c r="T84" s="109"/>
      <c r="U84" s="109"/>
      <c r="V84" s="109"/>
      <c r="W84" s="109"/>
    </row>
    <row r="85" spans="1:19" ht="12.75">
      <c r="A85" s="46"/>
      <c r="B85" s="46"/>
      <c r="C85" s="36"/>
      <c r="D85" s="88"/>
      <c r="E85" s="200"/>
      <c r="F85" s="36"/>
      <c r="I85" s="159"/>
      <c r="L85" s="200"/>
      <c r="M85" s="36"/>
      <c r="O85" s="200"/>
      <c r="R85" s="5"/>
      <c r="S85" s="6"/>
    </row>
    <row r="86" spans="1:61" s="6" customFormat="1" ht="12.75" customHeight="1">
      <c r="A86" s="46"/>
      <c r="B86" s="46"/>
      <c r="C86" s="36"/>
      <c r="D86" s="88"/>
      <c r="E86" s="200"/>
      <c r="F86" s="36"/>
      <c r="G86" s="4"/>
      <c r="H86" s="4"/>
      <c r="I86" s="159"/>
      <c r="K86" s="5"/>
      <c r="L86" s="200"/>
      <c r="M86" s="36"/>
      <c r="N86" s="5"/>
      <c r="O86" s="200"/>
      <c r="P86" s="5"/>
      <c r="Q86" s="5"/>
      <c r="R86" s="5"/>
      <c r="T86" s="4"/>
      <c r="U86" s="4"/>
      <c r="V86" s="4"/>
      <c r="W86" s="4"/>
      <c r="X86" s="4"/>
      <c r="Y86" s="4"/>
      <c r="Z86" s="4"/>
      <c r="AA86" s="4"/>
      <c r="AB86" s="4"/>
      <c r="AC86" s="36"/>
      <c r="AD86" s="36"/>
      <c r="AE86" s="36"/>
      <c r="AF86" s="36"/>
      <c r="AG86" s="36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1:19" ht="12.75" customHeight="1">
      <c r="A87" s="63"/>
      <c r="B87" s="63"/>
      <c r="C87" s="36"/>
      <c r="D87" s="88"/>
      <c r="E87" s="200"/>
      <c r="F87" s="36"/>
      <c r="I87" s="159"/>
      <c r="L87" s="200"/>
      <c r="M87" s="36"/>
      <c r="O87" s="200"/>
      <c r="R87" s="5"/>
      <c r="S87" s="6"/>
    </row>
    <row r="88" spans="1:18" ht="12.75" customHeight="1">
      <c r="A88" s="87"/>
      <c r="B88" s="87"/>
      <c r="C88" s="36"/>
      <c r="D88" s="88"/>
      <c r="E88" s="200"/>
      <c r="F88" s="36"/>
      <c r="I88" s="159"/>
      <c r="L88" s="200"/>
      <c r="M88" s="36"/>
      <c r="O88" s="200"/>
      <c r="R88" s="5"/>
    </row>
    <row r="89" spans="1:18" ht="12.75" customHeight="1">
      <c r="A89" s="87"/>
      <c r="B89" s="87"/>
      <c r="C89" s="36"/>
      <c r="D89" s="88"/>
      <c r="E89" s="200"/>
      <c r="F89" s="36"/>
      <c r="I89" s="159"/>
      <c r="L89" s="200"/>
      <c r="M89" s="36"/>
      <c r="O89" s="200"/>
      <c r="R89" s="5"/>
    </row>
    <row r="90" spans="1:62" s="36" customFormat="1" ht="27" customHeight="1">
      <c r="A90" s="87"/>
      <c r="B90" s="87"/>
      <c r="D90" s="88"/>
      <c r="E90" s="200"/>
      <c r="F90" s="87"/>
      <c r="G90" s="4"/>
      <c r="H90" s="4"/>
      <c r="I90" s="159"/>
      <c r="K90" s="5"/>
      <c r="L90" s="200"/>
      <c r="N90" s="5"/>
      <c r="O90" s="200"/>
      <c r="P90" s="34"/>
      <c r="Q90" s="34"/>
      <c r="R90" s="34"/>
      <c r="T90" s="27"/>
      <c r="U90" s="27"/>
      <c r="V90" s="27"/>
      <c r="W90" s="27"/>
      <c r="X90" s="27"/>
      <c r="Y90" s="27"/>
      <c r="Z90" s="27"/>
      <c r="AA90" s="27"/>
      <c r="AB90" s="27"/>
      <c r="BJ90" s="4"/>
    </row>
    <row r="91" spans="1:62" s="36" customFormat="1" ht="12.75">
      <c r="A91" s="88"/>
      <c r="B91" s="88"/>
      <c r="D91" s="88"/>
      <c r="E91" s="200"/>
      <c r="F91" s="87"/>
      <c r="G91" s="4"/>
      <c r="H91" s="4"/>
      <c r="I91" s="159"/>
      <c r="K91" s="5"/>
      <c r="L91" s="200"/>
      <c r="N91" s="5"/>
      <c r="O91" s="200"/>
      <c r="P91" s="34"/>
      <c r="Q91" s="34"/>
      <c r="R91" s="34"/>
      <c r="BJ91" s="4"/>
    </row>
    <row r="92" spans="1:62" s="36" customFormat="1" ht="12.75">
      <c r="A92" s="87"/>
      <c r="B92" s="87"/>
      <c r="D92" s="87"/>
      <c r="F92" s="87"/>
      <c r="K92" s="5"/>
      <c r="L92" s="200"/>
      <c r="N92" s="5"/>
      <c r="O92" s="200"/>
      <c r="P92" s="34"/>
      <c r="Q92" s="34"/>
      <c r="R92" s="34"/>
      <c r="BJ92" s="4"/>
    </row>
    <row r="93" spans="1:62" s="36" customFormat="1" ht="12.75">
      <c r="A93" s="89"/>
      <c r="B93" s="89"/>
      <c r="D93" s="88"/>
      <c r="F93" s="88"/>
      <c r="K93" s="5"/>
      <c r="L93" s="200"/>
      <c r="N93" s="5"/>
      <c r="O93" s="200"/>
      <c r="BJ93" s="4"/>
    </row>
    <row r="94" spans="1:62" s="36" customFormat="1" ht="12.75">
      <c r="A94" s="89"/>
      <c r="B94" s="89"/>
      <c r="D94" s="88"/>
      <c r="E94" s="42"/>
      <c r="F94" s="87"/>
      <c r="K94" s="5"/>
      <c r="L94" s="200"/>
      <c r="N94" s="5"/>
      <c r="O94" s="200"/>
      <c r="S94" s="27"/>
      <c r="BJ94" s="4"/>
    </row>
    <row r="95" spans="1:62" s="36" customFormat="1" ht="39.75" customHeight="1">
      <c r="A95" s="87"/>
      <c r="B95" s="87"/>
      <c r="D95" s="87"/>
      <c r="E95" s="42"/>
      <c r="F95" s="89"/>
      <c r="K95" s="5"/>
      <c r="L95" s="200"/>
      <c r="N95" s="5"/>
      <c r="O95" s="200"/>
      <c r="S95" s="27"/>
      <c r="AC95" s="91"/>
      <c r="AD95" s="91"/>
      <c r="AE95" s="91"/>
      <c r="AF95" s="91"/>
      <c r="AG95" s="91"/>
      <c r="BJ95" s="4"/>
    </row>
    <row r="96" spans="1:62" s="36" customFormat="1" ht="32.25" customHeight="1">
      <c r="A96" s="87"/>
      <c r="B96" s="87"/>
      <c r="D96" s="89"/>
      <c r="E96" s="42"/>
      <c r="F96" s="89"/>
      <c r="K96" s="5"/>
      <c r="L96" s="200"/>
      <c r="M96" s="42"/>
      <c r="N96" s="5"/>
      <c r="O96" s="200"/>
      <c r="S96" s="27"/>
      <c r="BJ96" s="4"/>
    </row>
    <row r="97" spans="1:62" s="36" customFormat="1" ht="12.75">
      <c r="A97" s="87"/>
      <c r="B97" s="87"/>
      <c r="D97" s="89"/>
      <c r="E97" s="42"/>
      <c r="F97" s="87"/>
      <c r="K97" s="5"/>
      <c r="L97" s="200"/>
      <c r="M97" s="42"/>
      <c r="N97" s="5"/>
      <c r="O97" s="200"/>
      <c r="S97" s="27"/>
      <c r="BJ97" s="4"/>
    </row>
    <row r="98" spans="1:62" s="36" customFormat="1" ht="12.75">
      <c r="A98" s="87"/>
      <c r="B98" s="87"/>
      <c r="C98" s="42"/>
      <c r="D98" s="87"/>
      <c r="E98" s="42"/>
      <c r="F98" s="87"/>
      <c r="K98" s="5"/>
      <c r="L98" s="200"/>
      <c r="M98" s="42"/>
      <c r="N98" s="5"/>
      <c r="O98" s="200"/>
      <c r="S98" s="27"/>
      <c r="BJ98" s="4"/>
    </row>
    <row r="99" spans="1:62" s="36" customFormat="1" ht="12.75">
      <c r="A99" s="87"/>
      <c r="B99" s="87"/>
      <c r="C99" s="42"/>
      <c r="D99" s="87"/>
      <c r="E99" s="42"/>
      <c r="F99" s="87"/>
      <c r="K99" s="5"/>
      <c r="L99" s="200"/>
      <c r="M99" s="42"/>
      <c r="N99" s="5"/>
      <c r="O99" s="200"/>
      <c r="S99" s="27"/>
      <c r="BJ99" s="4"/>
    </row>
    <row r="100" spans="1:62" s="36" customFormat="1" ht="12.75">
      <c r="A100" s="87"/>
      <c r="B100" s="87"/>
      <c r="C100" s="42"/>
      <c r="D100" s="87"/>
      <c r="E100" s="42"/>
      <c r="F100" s="87"/>
      <c r="K100" s="5"/>
      <c r="L100" s="200"/>
      <c r="M100" s="42"/>
      <c r="N100" s="5"/>
      <c r="O100" s="200"/>
      <c r="S100" s="27"/>
      <c r="BJ100" s="4"/>
    </row>
    <row r="101" spans="1:62" s="36" customFormat="1" ht="12.75">
      <c r="A101" s="43"/>
      <c r="B101" s="43"/>
      <c r="C101" s="42"/>
      <c r="D101" s="87"/>
      <c r="E101" s="42"/>
      <c r="F101" s="87"/>
      <c r="K101" s="90"/>
      <c r="L101" s="200"/>
      <c r="M101" s="42"/>
      <c r="N101" s="90"/>
      <c r="O101" s="158"/>
      <c r="S101" s="27"/>
      <c r="BJ101" s="4"/>
    </row>
    <row r="102" spans="1:28" ht="12.75">
      <c r="A102" s="43"/>
      <c r="B102" s="43"/>
      <c r="C102" s="42"/>
      <c r="D102" s="87"/>
      <c r="E102" s="42"/>
      <c r="F102" s="87"/>
      <c r="G102" s="42"/>
      <c r="H102" s="42"/>
      <c r="I102" s="42"/>
      <c r="J102" s="42"/>
      <c r="K102" s="42"/>
      <c r="L102" s="87"/>
      <c r="M102" s="42"/>
      <c r="N102" s="87"/>
      <c r="O102" s="27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12.75">
      <c r="A103" s="36"/>
      <c r="B103" s="36"/>
      <c r="C103" s="42"/>
      <c r="D103" s="87"/>
      <c r="E103" s="42"/>
      <c r="F103" s="36"/>
      <c r="G103" s="42"/>
      <c r="H103" s="42"/>
      <c r="I103" s="42"/>
      <c r="J103" s="42"/>
      <c r="K103" s="42"/>
      <c r="L103" s="36"/>
      <c r="M103" s="42"/>
      <c r="N103" s="87"/>
      <c r="O103" s="27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12.75">
      <c r="A104" s="36"/>
      <c r="B104" s="36"/>
      <c r="C104" s="42"/>
      <c r="D104" s="46"/>
      <c r="E104" s="42"/>
      <c r="F104" s="36"/>
      <c r="G104" s="42"/>
      <c r="H104" s="42"/>
      <c r="I104" s="42"/>
      <c r="J104" s="42"/>
      <c r="K104" s="42"/>
      <c r="L104" s="36"/>
      <c r="M104" s="42"/>
      <c r="N104" s="87"/>
      <c r="O104" s="42"/>
      <c r="P104" s="36"/>
      <c r="Q104" s="36"/>
      <c r="R104" s="36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2.75">
      <c r="A105" s="36"/>
      <c r="B105" s="36"/>
      <c r="C105" s="42"/>
      <c r="D105" s="36"/>
      <c r="E105" s="42"/>
      <c r="F105" s="36"/>
      <c r="G105" s="42"/>
      <c r="H105" s="42"/>
      <c r="I105" s="42"/>
      <c r="J105" s="42"/>
      <c r="K105" s="42"/>
      <c r="L105" s="36"/>
      <c r="M105" s="42"/>
      <c r="N105" s="87"/>
      <c r="O105" s="27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12.75" customHeight="1">
      <c r="A106" s="46"/>
      <c r="B106" s="46"/>
      <c r="C106" s="42"/>
      <c r="D106" s="36"/>
      <c r="E106" s="42"/>
      <c r="F106" s="36"/>
      <c r="G106" s="42"/>
      <c r="H106" s="42"/>
      <c r="I106" s="42"/>
      <c r="J106" s="42"/>
      <c r="K106" s="42"/>
      <c r="L106" s="36"/>
      <c r="M106" s="42"/>
      <c r="N106" s="87"/>
      <c r="O106" s="27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ht="12.75">
      <c r="A107" s="46"/>
      <c r="B107" s="46"/>
      <c r="C107" s="42"/>
      <c r="D107" s="36"/>
      <c r="E107" s="42"/>
      <c r="F107" s="36"/>
      <c r="G107" s="42"/>
      <c r="H107" s="42"/>
      <c r="I107" s="42"/>
      <c r="J107" s="42"/>
      <c r="K107" s="42"/>
      <c r="L107" s="36"/>
      <c r="M107" s="42"/>
      <c r="N107" s="36"/>
      <c r="O107" s="27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2.75">
      <c r="A108" s="36"/>
      <c r="B108" s="36"/>
      <c r="C108" s="42"/>
      <c r="D108" s="36"/>
      <c r="E108" s="42"/>
      <c r="F108" s="36"/>
      <c r="G108" s="42"/>
      <c r="H108" s="42"/>
      <c r="I108" s="42"/>
      <c r="J108" s="42"/>
      <c r="K108" s="42"/>
      <c r="L108" s="36"/>
      <c r="M108" s="42"/>
      <c r="N108" s="36"/>
      <c r="O108" s="27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s="27" customFormat="1" ht="12.75">
      <c r="A109" s="87"/>
      <c r="B109" s="87"/>
      <c r="C109" s="42"/>
      <c r="D109" s="36"/>
      <c r="E109" s="42"/>
      <c r="F109" s="36"/>
      <c r="G109" s="42"/>
      <c r="H109" s="42"/>
      <c r="I109" s="42"/>
      <c r="J109" s="42"/>
      <c r="K109" s="42"/>
      <c r="L109" s="36"/>
      <c r="M109" s="42"/>
      <c r="N109" s="42"/>
      <c r="O109" s="34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2.75">
      <c r="A110" s="87"/>
      <c r="B110" s="87"/>
      <c r="C110" s="34"/>
      <c r="D110" s="36"/>
      <c r="E110" s="42"/>
      <c r="F110" s="42"/>
      <c r="G110" s="42"/>
      <c r="H110" s="42"/>
      <c r="I110" s="42"/>
      <c r="J110" s="42"/>
      <c r="K110" s="42"/>
      <c r="L110" s="42"/>
      <c r="M110" s="42"/>
      <c r="N110" s="35"/>
      <c r="O110" s="34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2.75" customHeight="1">
      <c r="A111" s="87"/>
      <c r="B111" s="87"/>
      <c r="C111" s="36"/>
      <c r="D111" s="87"/>
      <c r="E111" s="42"/>
      <c r="F111" s="87"/>
      <c r="G111" s="42"/>
      <c r="H111" s="42"/>
      <c r="I111" s="42"/>
      <c r="J111" s="42"/>
      <c r="K111" s="42"/>
      <c r="L111" s="87"/>
      <c r="M111" s="42"/>
      <c r="N111" s="87"/>
      <c r="O111" s="3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42.75" customHeight="1">
      <c r="A112" s="88"/>
      <c r="B112" s="88"/>
      <c r="C112" s="36"/>
      <c r="D112" s="87"/>
      <c r="E112" s="42"/>
      <c r="F112" s="87"/>
      <c r="G112" s="42"/>
      <c r="H112" s="42"/>
      <c r="I112" s="42"/>
      <c r="J112" s="42"/>
      <c r="K112" s="42"/>
      <c r="L112" s="87"/>
      <c r="M112" s="42"/>
      <c r="N112" s="87"/>
      <c r="O112" s="3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2.75">
      <c r="A113" s="88"/>
      <c r="B113" s="88"/>
      <c r="C113" s="42"/>
      <c r="D113" s="87"/>
      <c r="E113" s="42"/>
      <c r="F113" s="87"/>
      <c r="G113" s="42"/>
      <c r="H113" s="42"/>
      <c r="I113" s="42"/>
      <c r="J113" s="42"/>
      <c r="K113" s="42"/>
      <c r="L113" s="87"/>
      <c r="M113" s="42"/>
      <c r="N113" s="87"/>
      <c r="O113" s="3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12.75">
      <c r="A114" s="87"/>
      <c r="B114" s="87"/>
      <c r="C114" s="42"/>
      <c r="D114" s="88"/>
      <c r="E114" s="42"/>
      <c r="F114" s="88"/>
      <c r="G114" s="42"/>
      <c r="H114" s="42"/>
      <c r="I114" s="36"/>
      <c r="J114" s="36"/>
      <c r="K114" s="36"/>
      <c r="L114" s="88"/>
      <c r="M114" s="42"/>
      <c r="N114" s="88"/>
      <c r="O114" s="3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2.75">
      <c r="A115" s="89"/>
      <c r="B115" s="89"/>
      <c r="C115" s="42"/>
      <c r="D115" s="88"/>
      <c r="E115" s="42"/>
      <c r="F115" s="88"/>
      <c r="G115" s="42"/>
      <c r="H115" s="42"/>
      <c r="I115" s="36"/>
      <c r="J115" s="36"/>
      <c r="K115" s="36"/>
      <c r="L115" s="88"/>
      <c r="M115" s="42"/>
      <c r="N115" s="88"/>
      <c r="O115" s="3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2.75">
      <c r="A116" s="87"/>
      <c r="B116" s="87"/>
      <c r="C116" s="42"/>
      <c r="D116" s="87"/>
      <c r="E116" s="42"/>
      <c r="F116" s="87"/>
      <c r="G116" s="42"/>
      <c r="H116" s="42"/>
      <c r="I116" s="36"/>
      <c r="J116" s="36"/>
      <c r="K116" s="36"/>
      <c r="L116" s="87"/>
      <c r="M116" s="34"/>
      <c r="N116" s="87"/>
      <c r="O116" s="3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2.75">
      <c r="A117" s="87"/>
      <c r="B117" s="87"/>
      <c r="C117" s="42"/>
      <c r="D117" s="89"/>
      <c r="E117" s="42"/>
      <c r="F117" s="89"/>
      <c r="G117" s="42"/>
      <c r="H117" s="42"/>
      <c r="I117" s="36"/>
      <c r="J117" s="36"/>
      <c r="K117" s="36"/>
      <c r="L117" s="89"/>
      <c r="M117" s="34"/>
      <c r="N117" s="89"/>
      <c r="O117" s="3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62" s="36" customFormat="1" ht="12.75">
      <c r="A118" s="87"/>
      <c r="B118" s="87"/>
      <c r="C118" s="42"/>
      <c r="D118" s="87"/>
      <c r="F118" s="89"/>
      <c r="G118" s="42"/>
      <c r="H118" s="42"/>
      <c r="L118" s="89"/>
      <c r="M118" s="34"/>
      <c r="N118" s="89"/>
      <c r="O118" s="34"/>
      <c r="BJ118" s="4"/>
    </row>
    <row r="119" spans="1:62" s="36" customFormat="1" ht="12.75">
      <c r="A119" s="87"/>
      <c r="B119" s="87"/>
      <c r="C119" s="42"/>
      <c r="D119" s="87"/>
      <c r="F119" s="87"/>
      <c r="G119" s="42"/>
      <c r="H119" s="42"/>
      <c r="L119" s="87"/>
      <c r="M119" s="34"/>
      <c r="N119" s="87"/>
      <c r="O119" s="34"/>
      <c r="BJ119" s="4"/>
    </row>
    <row r="120" spans="1:62" s="36" customFormat="1" ht="12.75">
      <c r="A120" s="87"/>
      <c r="B120" s="87"/>
      <c r="C120" s="42"/>
      <c r="D120" s="87"/>
      <c r="F120" s="87"/>
      <c r="G120" s="42"/>
      <c r="H120" s="42"/>
      <c r="L120" s="87"/>
      <c r="M120" s="34"/>
      <c r="N120" s="87"/>
      <c r="O120" s="27"/>
      <c r="BJ120" s="4"/>
    </row>
    <row r="121" spans="1:62" s="36" customFormat="1" ht="12.75">
      <c r="A121" s="87"/>
      <c r="B121" s="87"/>
      <c r="C121" s="42"/>
      <c r="D121" s="87"/>
      <c r="F121" s="87"/>
      <c r="L121" s="87"/>
      <c r="M121" s="34"/>
      <c r="N121" s="87"/>
      <c r="O121" s="27"/>
      <c r="BJ121" s="4"/>
    </row>
    <row r="122" spans="1:62" s="36" customFormat="1" ht="12.75">
      <c r="A122" s="43"/>
      <c r="B122" s="43"/>
      <c r="C122" s="42"/>
      <c r="D122" s="87"/>
      <c r="F122" s="87"/>
      <c r="L122" s="87"/>
      <c r="M122" s="34"/>
      <c r="N122" s="87"/>
      <c r="O122" s="34"/>
      <c r="BJ122" s="4"/>
    </row>
    <row r="123" spans="1:62" s="36" customFormat="1" ht="12.75">
      <c r="A123" s="43"/>
      <c r="B123" s="43"/>
      <c r="C123" s="42"/>
      <c r="D123" s="87"/>
      <c r="F123" s="87"/>
      <c r="L123" s="87"/>
      <c r="M123" s="34"/>
      <c r="N123" s="87"/>
      <c r="O123" s="34"/>
      <c r="BJ123" s="4"/>
    </row>
    <row r="124" spans="1:62" s="36" customFormat="1" ht="12.75">
      <c r="A124" s="88"/>
      <c r="B124" s="88"/>
      <c r="C124" s="42"/>
      <c r="D124" s="46"/>
      <c r="M124" s="34"/>
      <c r="O124" s="34"/>
      <c r="BJ124" s="4"/>
    </row>
    <row r="125" spans="1:62" s="36" customFormat="1" ht="12.75">
      <c r="A125" s="88"/>
      <c r="B125" s="88"/>
      <c r="C125" s="42"/>
      <c r="D125" s="46"/>
      <c r="M125" s="34"/>
      <c r="O125" s="42"/>
      <c r="P125" s="27"/>
      <c r="Q125" s="27"/>
      <c r="R125" s="27"/>
      <c r="BJ125" s="4"/>
    </row>
    <row r="126" spans="3:62" s="36" customFormat="1" ht="12.75">
      <c r="C126" s="42"/>
      <c r="D126" s="88"/>
      <c r="F126" s="27"/>
      <c r="G126" s="42"/>
      <c r="H126" s="42"/>
      <c r="I126" s="34"/>
      <c r="J126" s="34"/>
      <c r="K126" s="34"/>
      <c r="M126" s="34"/>
      <c r="O126" s="42"/>
      <c r="P126" s="27"/>
      <c r="Q126" s="27"/>
      <c r="R126" s="27"/>
      <c r="BJ126" s="4"/>
    </row>
    <row r="127" spans="1:62" s="36" customFormat="1" ht="12.75">
      <c r="A127" s="46"/>
      <c r="B127" s="46"/>
      <c r="C127" s="42"/>
      <c r="D127" s="88"/>
      <c r="G127" s="42"/>
      <c r="H127" s="42"/>
      <c r="I127" s="34"/>
      <c r="J127" s="34"/>
      <c r="K127" s="34"/>
      <c r="L127" s="27"/>
      <c r="M127" s="34"/>
      <c r="O127" s="42"/>
      <c r="P127" s="27"/>
      <c r="Q127" s="27"/>
      <c r="R127" s="27"/>
      <c r="BJ127" s="4"/>
    </row>
    <row r="128" spans="1:62" s="36" customFormat="1" ht="12.75">
      <c r="A128" s="46"/>
      <c r="B128" s="46"/>
      <c r="C128" s="42"/>
      <c r="F128" s="42"/>
      <c r="G128" s="42"/>
      <c r="H128" s="42"/>
      <c r="I128" s="34"/>
      <c r="J128" s="34"/>
      <c r="K128" s="34"/>
      <c r="M128" s="34"/>
      <c r="O128" s="42"/>
      <c r="P128" s="27"/>
      <c r="Q128" s="27"/>
      <c r="R128" s="27"/>
      <c r="BJ128" s="4"/>
    </row>
    <row r="129" spans="3:62" s="36" customFormat="1" ht="12.75">
      <c r="C129" s="42"/>
      <c r="G129" s="42"/>
      <c r="H129" s="42"/>
      <c r="I129" s="34"/>
      <c r="J129" s="34"/>
      <c r="K129" s="34"/>
      <c r="L129" s="42"/>
      <c r="M129" s="34"/>
      <c r="O129" s="42"/>
      <c r="P129" s="27"/>
      <c r="Q129" s="27"/>
      <c r="R129" s="27"/>
      <c r="BJ129" s="4"/>
    </row>
    <row r="130" spans="3:62" s="36" customFormat="1" ht="12.75">
      <c r="C130" s="42"/>
      <c r="G130" s="42"/>
      <c r="H130" s="42"/>
      <c r="I130" s="34"/>
      <c r="J130" s="34"/>
      <c r="K130" s="34"/>
      <c r="M130" s="34"/>
      <c r="N130" s="35"/>
      <c r="O130" s="42"/>
      <c r="P130" s="27"/>
      <c r="Q130" s="27"/>
      <c r="R130" s="27"/>
      <c r="BJ130" s="4"/>
    </row>
    <row r="131" spans="3:62" s="36" customFormat="1" ht="12.75">
      <c r="C131" s="42"/>
      <c r="I131" s="34"/>
      <c r="J131" s="34"/>
      <c r="K131" s="34"/>
      <c r="M131" s="34"/>
      <c r="N131" s="27"/>
      <c r="O131" s="42"/>
      <c r="P131" s="27"/>
      <c r="Q131" s="27"/>
      <c r="R131" s="27"/>
      <c r="BJ131" s="4"/>
    </row>
    <row r="132" spans="3:62" s="36" customFormat="1" ht="12.75">
      <c r="C132" s="42"/>
      <c r="I132" s="34"/>
      <c r="J132" s="34"/>
      <c r="K132" s="34"/>
      <c r="M132" s="34"/>
      <c r="N132" s="35"/>
      <c r="O132" s="42"/>
      <c r="P132" s="27"/>
      <c r="Q132" s="27"/>
      <c r="R132" s="27"/>
      <c r="BJ132" s="4"/>
    </row>
    <row r="133" spans="3:62" s="36" customFormat="1" ht="12.75">
      <c r="C133" s="42"/>
      <c r="D133" s="27"/>
      <c r="I133" s="34"/>
      <c r="J133" s="34"/>
      <c r="K133" s="34"/>
      <c r="M133" s="34"/>
      <c r="N133" s="42"/>
      <c r="O133" s="42"/>
      <c r="P133" s="27"/>
      <c r="Q133" s="27"/>
      <c r="R133" s="27"/>
      <c r="BJ133" s="4"/>
    </row>
    <row r="134" spans="1:28" ht="12.75">
      <c r="A134" s="36"/>
      <c r="B134" s="36"/>
      <c r="C134" s="42"/>
      <c r="D134" s="36"/>
      <c r="E134" s="36"/>
      <c r="F134" s="36"/>
      <c r="G134" s="36"/>
      <c r="H134" s="36"/>
      <c r="I134" s="34"/>
      <c r="J134" s="34"/>
      <c r="K134" s="34"/>
      <c r="L134" s="36"/>
      <c r="M134" s="34"/>
      <c r="N134" s="36"/>
      <c r="O134" s="42"/>
      <c r="P134" s="92"/>
      <c r="Q134" s="92"/>
      <c r="R134" s="92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ht="12.75">
      <c r="A135" s="36"/>
      <c r="B135" s="36"/>
      <c r="C135" s="36"/>
      <c r="D135" s="42"/>
      <c r="E135" s="36"/>
      <c r="F135" s="36"/>
      <c r="G135" s="36"/>
      <c r="H135" s="36"/>
      <c r="I135" s="34"/>
      <c r="J135" s="34"/>
      <c r="K135" s="34"/>
      <c r="L135" s="36"/>
      <c r="M135" s="34"/>
      <c r="N135" s="36"/>
      <c r="O135" s="42"/>
      <c r="P135" s="27"/>
      <c r="Q135" s="27"/>
      <c r="R135" s="27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ht="12.75">
      <c r="A136" s="27"/>
      <c r="B136" s="27"/>
      <c r="C136" s="36"/>
      <c r="D136" s="44"/>
      <c r="E136" s="36"/>
      <c r="F136" s="36"/>
      <c r="G136" s="36"/>
      <c r="H136" s="36"/>
      <c r="I136" s="34"/>
      <c r="J136" s="34"/>
      <c r="K136" s="34"/>
      <c r="L136" s="36"/>
      <c r="M136" s="34"/>
      <c r="N136" s="36"/>
      <c r="O136" s="92"/>
      <c r="P136" s="27"/>
      <c r="Q136" s="27"/>
      <c r="R136" s="27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12.75">
      <c r="A137" s="36"/>
      <c r="B137" s="36"/>
      <c r="C137" s="36"/>
      <c r="D137" s="45"/>
      <c r="E137" s="36"/>
      <c r="F137" s="36"/>
      <c r="G137" s="36"/>
      <c r="H137" s="36"/>
      <c r="I137" s="34"/>
      <c r="J137" s="34"/>
      <c r="K137" s="34"/>
      <c r="L137" s="36"/>
      <c r="M137" s="34"/>
      <c r="N137" s="36"/>
      <c r="O137" s="92"/>
      <c r="P137" s="27"/>
      <c r="Q137" s="27"/>
      <c r="R137" s="27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ht="12.75">
      <c r="A138" s="42"/>
      <c r="B138" s="42"/>
      <c r="C138" s="36"/>
      <c r="D138" s="45"/>
      <c r="E138" s="36"/>
      <c r="F138" s="36"/>
      <c r="G138" s="36"/>
      <c r="H138" s="36"/>
      <c r="I138" s="34"/>
      <c r="J138" s="34"/>
      <c r="K138" s="34"/>
      <c r="L138" s="36"/>
      <c r="M138" s="34"/>
      <c r="N138" s="36"/>
      <c r="O138" s="92"/>
      <c r="P138" s="27"/>
      <c r="Q138" s="27"/>
      <c r="R138" s="27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ht="12.75">
      <c r="A139" s="44"/>
      <c r="B139" s="44"/>
      <c r="C139" s="36"/>
      <c r="D139" s="45"/>
      <c r="E139" s="36"/>
      <c r="F139" s="36"/>
      <c r="G139" s="36"/>
      <c r="H139" s="36"/>
      <c r="I139" s="34"/>
      <c r="J139" s="34"/>
      <c r="K139" s="34"/>
      <c r="L139" s="36"/>
      <c r="M139" s="34"/>
      <c r="N139" s="36"/>
      <c r="O139" s="92"/>
      <c r="P139" s="27"/>
      <c r="Q139" s="27"/>
      <c r="R139" s="27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2.75">
      <c r="A140" s="45"/>
      <c r="B140" s="45"/>
      <c r="C140" s="36"/>
      <c r="D140" s="43"/>
      <c r="E140" s="36"/>
      <c r="F140" s="36"/>
      <c r="G140" s="36"/>
      <c r="H140" s="36"/>
      <c r="I140" s="34"/>
      <c r="J140" s="34"/>
      <c r="K140" s="34"/>
      <c r="L140" s="36"/>
      <c r="M140" s="34"/>
      <c r="N140" s="35"/>
      <c r="O140" s="92"/>
      <c r="P140" s="27"/>
      <c r="Q140" s="27"/>
      <c r="R140" s="27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2.75">
      <c r="A141" s="45"/>
      <c r="B141" s="45"/>
      <c r="C141" s="36"/>
      <c r="D141" s="43"/>
      <c r="E141" s="36"/>
      <c r="F141" s="36"/>
      <c r="G141" s="36"/>
      <c r="H141" s="36"/>
      <c r="I141" s="34"/>
      <c r="J141" s="34"/>
      <c r="K141" s="34"/>
      <c r="L141" s="36"/>
      <c r="M141" s="34"/>
      <c r="N141" s="35"/>
      <c r="O141" s="92"/>
      <c r="P141" s="43"/>
      <c r="Q141" s="27"/>
      <c r="R141" s="27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2.75">
      <c r="A142" s="45"/>
      <c r="B142" s="45"/>
      <c r="C142" s="36"/>
      <c r="D142" s="43"/>
      <c r="E142" s="36"/>
      <c r="F142" s="36"/>
      <c r="G142" s="36"/>
      <c r="H142" s="36"/>
      <c r="I142" s="34"/>
      <c r="J142" s="34"/>
      <c r="K142" s="34"/>
      <c r="L142" s="36"/>
      <c r="M142" s="34"/>
      <c r="N142" s="35"/>
      <c r="O142" s="92"/>
      <c r="P142" s="43"/>
      <c r="Q142" s="27"/>
      <c r="R142" s="27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2.75">
      <c r="A143" s="43"/>
      <c r="B143" s="43"/>
      <c r="C143" s="36"/>
      <c r="D143" s="43"/>
      <c r="E143" s="36"/>
      <c r="F143" s="36"/>
      <c r="G143" s="36"/>
      <c r="H143" s="36"/>
      <c r="I143" s="34"/>
      <c r="J143" s="34"/>
      <c r="K143" s="34"/>
      <c r="L143" s="36"/>
      <c r="M143" s="34"/>
      <c r="N143" s="35"/>
      <c r="O143" s="42"/>
      <c r="P143" s="46"/>
      <c r="Q143" s="27"/>
      <c r="R143" s="27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2.75">
      <c r="A144" s="43"/>
      <c r="B144" s="43"/>
      <c r="C144" s="36"/>
      <c r="D144" s="43"/>
      <c r="E144" s="36"/>
      <c r="F144" s="36"/>
      <c r="G144" s="36"/>
      <c r="H144" s="36"/>
      <c r="I144" s="34"/>
      <c r="J144" s="34"/>
      <c r="K144" s="34"/>
      <c r="L144" s="36"/>
      <c r="M144" s="34"/>
      <c r="N144" s="35"/>
      <c r="O144" s="42"/>
      <c r="P144" s="46"/>
      <c r="Q144" s="27"/>
      <c r="R144" s="27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2.75">
      <c r="A145" s="43"/>
      <c r="B145" s="43"/>
      <c r="C145" s="36"/>
      <c r="D145" s="43"/>
      <c r="E145" s="36"/>
      <c r="F145" s="36"/>
      <c r="G145" s="36"/>
      <c r="H145" s="36"/>
      <c r="I145" s="34"/>
      <c r="J145" s="34"/>
      <c r="K145" s="34"/>
      <c r="L145" s="36"/>
      <c r="M145" s="34"/>
      <c r="N145" s="35"/>
      <c r="O145" s="42"/>
      <c r="P145" s="43"/>
      <c r="Q145" s="27"/>
      <c r="R145" s="27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2.75">
      <c r="A146" s="43"/>
      <c r="B146" s="43"/>
      <c r="C146" s="36"/>
      <c r="D146" s="36"/>
      <c r="E146" s="36"/>
      <c r="F146" s="36"/>
      <c r="G146" s="36"/>
      <c r="H146" s="36"/>
      <c r="I146" s="34"/>
      <c r="J146" s="34"/>
      <c r="K146" s="34"/>
      <c r="L146" s="36"/>
      <c r="M146" s="34"/>
      <c r="N146" s="35"/>
      <c r="O146" s="90"/>
      <c r="P146" s="43"/>
      <c r="Q146" s="27"/>
      <c r="R146" s="27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2.75">
      <c r="A147" s="43"/>
      <c r="B147" s="43"/>
      <c r="C147" s="36"/>
      <c r="D147" s="36"/>
      <c r="E147" s="36"/>
      <c r="F147" s="36"/>
      <c r="G147" s="36"/>
      <c r="H147" s="36"/>
      <c r="I147" s="34"/>
      <c r="J147" s="34"/>
      <c r="K147" s="34"/>
      <c r="L147" s="36"/>
      <c r="M147" s="34"/>
      <c r="N147" s="35"/>
      <c r="O147" s="34"/>
      <c r="P147" s="43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2.75">
      <c r="A148" s="43"/>
      <c r="B148" s="43"/>
      <c r="C148" s="36"/>
      <c r="D148" s="36"/>
      <c r="E148" s="36"/>
      <c r="F148" s="36"/>
      <c r="G148" s="36"/>
      <c r="H148" s="36"/>
      <c r="I148" s="34"/>
      <c r="J148" s="34"/>
      <c r="K148" s="34"/>
      <c r="L148" s="36"/>
      <c r="M148" s="34"/>
      <c r="N148" s="35"/>
      <c r="O148" s="34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2.75">
      <c r="A149" s="36"/>
      <c r="B149" s="36"/>
      <c r="C149" s="36"/>
      <c r="D149" s="46"/>
      <c r="E149" s="36"/>
      <c r="F149" s="36"/>
      <c r="G149" s="36"/>
      <c r="H149" s="36"/>
      <c r="I149" s="34"/>
      <c r="J149" s="34"/>
      <c r="K149" s="34"/>
      <c r="L149" s="36"/>
      <c r="M149" s="34"/>
      <c r="N149" s="35"/>
      <c r="O149" s="34"/>
      <c r="P149" s="36"/>
      <c r="Q149" s="36"/>
      <c r="R149" s="36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</row>
    <row r="150" spans="1:28" ht="12.75">
      <c r="A150" s="36"/>
      <c r="B150" s="36"/>
      <c r="C150" s="36"/>
      <c r="D150" s="46"/>
      <c r="E150" s="36"/>
      <c r="F150" s="36"/>
      <c r="G150" s="36"/>
      <c r="H150" s="36"/>
      <c r="I150" s="34"/>
      <c r="J150" s="34"/>
      <c r="K150" s="34"/>
      <c r="L150" s="36"/>
      <c r="M150" s="34"/>
      <c r="N150" s="35"/>
      <c r="O150" s="3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2.75">
      <c r="A151" s="36"/>
      <c r="B151" s="36"/>
      <c r="C151" s="36"/>
      <c r="D151" s="36"/>
      <c r="E151" s="36"/>
      <c r="F151" s="36"/>
      <c r="G151" s="36"/>
      <c r="H151" s="36"/>
      <c r="I151" s="34"/>
      <c r="J151" s="34"/>
      <c r="K151" s="34"/>
      <c r="L151" s="36"/>
      <c r="M151" s="34"/>
      <c r="N151" s="35"/>
      <c r="O151" s="34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ht="12.75">
      <c r="A152" s="46"/>
      <c r="B152" s="46"/>
      <c r="C152" s="36"/>
      <c r="D152" s="36"/>
      <c r="E152" s="36"/>
      <c r="F152" s="36"/>
      <c r="G152" s="36"/>
      <c r="H152" s="36"/>
      <c r="I152" s="34"/>
      <c r="J152" s="34"/>
      <c r="K152" s="34"/>
      <c r="L152" s="36"/>
      <c r="M152" s="34"/>
      <c r="N152" s="35"/>
      <c r="O152" s="3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2.75">
      <c r="A153" s="46"/>
      <c r="B153" s="46"/>
      <c r="C153" s="36"/>
      <c r="D153" s="36"/>
      <c r="E153" s="36"/>
      <c r="F153" s="36"/>
      <c r="G153" s="36"/>
      <c r="H153" s="36"/>
      <c r="I153" s="34"/>
      <c r="J153" s="34"/>
      <c r="K153" s="34"/>
      <c r="L153" s="36"/>
      <c r="M153" s="34"/>
      <c r="N153" s="35"/>
      <c r="O153" s="3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s="42" customFormat="1" ht="12.75">
      <c r="A154" s="36"/>
      <c r="B154" s="36"/>
      <c r="C154" s="36"/>
      <c r="D154" s="36"/>
      <c r="E154" s="36"/>
      <c r="F154" s="36"/>
      <c r="G154" s="36"/>
      <c r="H154" s="36"/>
      <c r="I154" s="34"/>
      <c r="J154" s="34"/>
      <c r="K154" s="34"/>
      <c r="L154" s="36"/>
      <c r="M154" s="34"/>
      <c r="N154" s="34"/>
      <c r="O154" s="3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2.75">
      <c r="A155" s="36"/>
      <c r="B155" s="36"/>
      <c r="C155" s="36"/>
      <c r="D155" s="36"/>
      <c r="E155" s="36"/>
      <c r="F155" s="36"/>
      <c r="G155" s="36"/>
      <c r="H155" s="36"/>
      <c r="I155" s="34"/>
      <c r="J155" s="34"/>
      <c r="K155" s="34"/>
      <c r="L155" s="36"/>
      <c r="M155" s="34"/>
      <c r="N155" s="34"/>
      <c r="O155" s="34"/>
      <c r="P155" s="42"/>
      <c r="Q155" s="42"/>
      <c r="R155" s="42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ht="12.75">
      <c r="A156" s="36"/>
      <c r="B156" s="36"/>
      <c r="C156" s="36"/>
      <c r="D156" s="36"/>
      <c r="E156" s="36"/>
      <c r="F156" s="36"/>
      <c r="G156" s="36"/>
      <c r="H156" s="36"/>
      <c r="I156" s="34"/>
      <c r="J156" s="34"/>
      <c r="K156" s="34"/>
      <c r="L156" s="36"/>
      <c r="M156" s="34"/>
      <c r="N156" s="34"/>
      <c r="O156" s="34"/>
      <c r="P156" s="42"/>
      <c r="Q156" s="42"/>
      <c r="R156" s="42"/>
      <c r="S156" s="27"/>
      <c r="T156" s="43"/>
      <c r="U156" s="36"/>
      <c r="V156" s="36"/>
      <c r="W156" s="36"/>
      <c r="X156" s="36"/>
      <c r="Y156" s="36"/>
      <c r="Z156" s="36"/>
      <c r="AA156" s="36"/>
      <c r="AB156" s="36"/>
    </row>
    <row r="157" spans="1:28" ht="12.75">
      <c r="A157" s="36"/>
      <c r="B157" s="36"/>
      <c r="C157" s="36"/>
      <c r="D157" s="36"/>
      <c r="E157" s="36"/>
      <c r="F157" s="36"/>
      <c r="G157" s="36"/>
      <c r="H157" s="36"/>
      <c r="I157" s="34"/>
      <c r="J157" s="34"/>
      <c r="K157" s="34"/>
      <c r="L157" s="36"/>
      <c r="M157" s="33"/>
      <c r="N157" s="34"/>
      <c r="O157" s="27"/>
      <c r="P157" s="42"/>
      <c r="Q157" s="42"/>
      <c r="R157" s="42"/>
      <c r="S157" s="27"/>
      <c r="T157" s="46"/>
      <c r="U157" s="36"/>
      <c r="V157" s="36"/>
      <c r="W157" s="36"/>
      <c r="X157" s="36"/>
      <c r="Y157" s="36"/>
      <c r="Z157" s="36"/>
      <c r="AA157" s="36"/>
      <c r="AB157" s="36"/>
    </row>
    <row r="158" spans="1:28" ht="12.75">
      <c r="A158" s="36"/>
      <c r="B158" s="36"/>
      <c r="C158" s="36"/>
      <c r="D158" s="36"/>
      <c r="E158" s="36"/>
      <c r="F158" s="36"/>
      <c r="G158" s="36"/>
      <c r="H158" s="36"/>
      <c r="I158" s="34"/>
      <c r="J158" s="34"/>
      <c r="K158" s="34"/>
      <c r="L158" s="36"/>
      <c r="M158" s="33"/>
      <c r="N158" s="34"/>
      <c r="O158" s="27"/>
      <c r="P158" s="42"/>
      <c r="Q158" s="42"/>
      <c r="R158" s="42"/>
      <c r="S158" s="27"/>
      <c r="T158" s="46"/>
      <c r="U158" s="36"/>
      <c r="V158" s="36"/>
      <c r="W158" s="36"/>
      <c r="X158" s="36"/>
      <c r="Y158" s="36"/>
      <c r="Z158" s="36"/>
      <c r="AA158" s="36"/>
      <c r="AB158" s="36"/>
    </row>
    <row r="159" spans="1:28" ht="12.75">
      <c r="A159" s="36"/>
      <c r="B159" s="36"/>
      <c r="C159" s="36"/>
      <c r="D159" s="36"/>
      <c r="E159" s="36"/>
      <c r="F159" s="36"/>
      <c r="G159" s="36"/>
      <c r="H159" s="36"/>
      <c r="I159" s="34"/>
      <c r="J159" s="34"/>
      <c r="K159" s="34"/>
      <c r="L159" s="36"/>
      <c r="M159" s="33"/>
      <c r="N159" s="34"/>
      <c r="O159" s="27"/>
      <c r="P159" s="42"/>
      <c r="Q159" s="42"/>
      <c r="R159" s="42"/>
      <c r="S159" s="27"/>
      <c r="T159" s="43"/>
      <c r="U159" s="36"/>
      <c r="V159" s="36"/>
      <c r="W159" s="36"/>
      <c r="X159" s="36"/>
      <c r="Y159" s="36"/>
      <c r="Z159" s="36"/>
      <c r="AA159" s="36"/>
      <c r="AB159" s="36"/>
    </row>
    <row r="160" spans="1:28" ht="12.75">
      <c r="A160" s="36"/>
      <c r="B160" s="36"/>
      <c r="C160" s="36"/>
      <c r="D160" s="36"/>
      <c r="E160" s="36"/>
      <c r="F160" s="36"/>
      <c r="G160" s="36"/>
      <c r="H160" s="36"/>
      <c r="I160" s="34"/>
      <c r="J160" s="34"/>
      <c r="K160" s="34"/>
      <c r="L160" s="36"/>
      <c r="M160" s="33"/>
      <c r="N160" s="34"/>
      <c r="O160" s="27"/>
      <c r="P160" s="42"/>
      <c r="Q160" s="42"/>
      <c r="R160" s="42"/>
      <c r="S160" s="27"/>
      <c r="T160" s="43"/>
      <c r="U160" s="36"/>
      <c r="V160" s="36"/>
      <c r="W160" s="36"/>
      <c r="X160" s="36"/>
      <c r="Y160" s="36"/>
      <c r="Z160" s="36"/>
      <c r="AA160" s="36"/>
      <c r="AB160" s="36"/>
    </row>
    <row r="161" spans="1:28" ht="12.75">
      <c r="A161" s="36"/>
      <c r="B161" s="36"/>
      <c r="C161" s="36"/>
      <c r="D161" s="36"/>
      <c r="E161" s="36"/>
      <c r="F161" s="36"/>
      <c r="G161" s="36"/>
      <c r="H161" s="36"/>
      <c r="I161" s="34"/>
      <c r="J161" s="34"/>
      <c r="K161" s="34"/>
      <c r="L161" s="36"/>
      <c r="M161" s="33"/>
      <c r="N161" s="34"/>
      <c r="O161" s="27"/>
      <c r="P161" s="42"/>
      <c r="Q161" s="42"/>
      <c r="R161" s="42"/>
      <c r="S161" s="27"/>
      <c r="T161" s="43"/>
      <c r="U161" s="36"/>
      <c r="V161" s="36"/>
      <c r="W161" s="36"/>
      <c r="X161" s="36"/>
      <c r="Y161" s="36"/>
      <c r="Z161" s="36"/>
      <c r="AA161" s="36"/>
      <c r="AB161" s="36"/>
    </row>
    <row r="162" spans="1:28" ht="12.75">
      <c r="A162" s="36"/>
      <c r="B162" s="36"/>
      <c r="C162" s="36"/>
      <c r="D162" s="36"/>
      <c r="E162" s="36"/>
      <c r="F162" s="36"/>
      <c r="G162" s="36"/>
      <c r="H162" s="36"/>
      <c r="I162" s="34"/>
      <c r="J162" s="34"/>
      <c r="K162" s="34"/>
      <c r="L162" s="36"/>
      <c r="M162" s="33"/>
      <c r="N162" s="34"/>
      <c r="O162" s="27"/>
      <c r="P162" s="42"/>
      <c r="Q162" s="42"/>
      <c r="R162" s="42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:28" ht="12.75">
      <c r="A163" s="36"/>
      <c r="B163" s="36"/>
      <c r="C163" s="36"/>
      <c r="D163" s="36"/>
      <c r="E163" s="36"/>
      <c r="F163" s="36"/>
      <c r="G163" s="36"/>
      <c r="H163" s="36"/>
      <c r="I163" s="34"/>
      <c r="J163" s="34"/>
      <c r="K163" s="34"/>
      <c r="L163" s="36"/>
      <c r="M163" s="33"/>
      <c r="N163" s="34"/>
      <c r="O163" s="27"/>
      <c r="P163" s="42"/>
      <c r="Q163" s="42"/>
      <c r="R163" s="42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:28" ht="12.75">
      <c r="A164" s="36"/>
      <c r="B164" s="36"/>
      <c r="C164" s="36"/>
      <c r="D164" s="36"/>
      <c r="E164" s="36"/>
      <c r="F164" s="36"/>
      <c r="G164" s="36"/>
      <c r="H164" s="36"/>
      <c r="I164" s="34"/>
      <c r="J164" s="34"/>
      <c r="K164" s="34"/>
      <c r="L164" s="36"/>
      <c r="M164" s="33"/>
      <c r="N164" s="34"/>
      <c r="O164" s="27"/>
      <c r="P164" s="42"/>
      <c r="Q164" s="42"/>
      <c r="R164" s="42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ht="12.75">
      <c r="A165" s="36"/>
      <c r="B165" s="36"/>
      <c r="C165" s="36"/>
      <c r="D165" s="36"/>
      <c r="E165" s="36"/>
      <c r="F165" s="36"/>
      <c r="G165" s="36"/>
      <c r="H165" s="36"/>
      <c r="I165" s="34"/>
      <c r="J165" s="34"/>
      <c r="K165" s="34"/>
      <c r="L165" s="36"/>
      <c r="M165" s="33"/>
      <c r="N165" s="34"/>
      <c r="O165" s="27"/>
      <c r="P165" s="42"/>
      <c r="Q165" s="42"/>
      <c r="R165" s="42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ht="12.75">
      <c r="A166" s="36"/>
      <c r="B166" s="36"/>
      <c r="C166" s="36"/>
      <c r="D166" s="36"/>
      <c r="E166" s="36"/>
      <c r="F166" s="36"/>
      <c r="G166" s="36"/>
      <c r="H166" s="36"/>
      <c r="I166" s="34"/>
      <c r="J166" s="34"/>
      <c r="K166" s="34"/>
      <c r="L166" s="36"/>
      <c r="M166" s="33"/>
      <c r="N166" s="34"/>
      <c r="O166" s="27"/>
      <c r="P166" s="42"/>
      <c r="Q166" s="42"/>
      <c r="R166" s="42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ht="12.75">
      <c r="A167" s="36"/>
      <c r="B167" s="36"/>
      <c r="C167" s="36"/>
      <c r="D167" s="36"/>
      <c r="E167" s="36"/>
      <c r="F167" s="36"/>
      <c r="G167" s="36"/>
      <c r="H167" s="36"/>
      <c r="I167" s="34"/>
      <c r="J167" s="34"/>
      <c r="K167" s="34"/>
      <c r="L167" s="36"/>
      <c r="M167" s="33"/>
      <c r="N167" s="34"/>
      <c r="O167" s="27"/>
      <c r="P167" s="42"/>
      <c r="Q167" s="42"/>
      <c r="R167" s="42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2.75">
      <c r="A168" s="36"/>
      <c r="B168" s="36"/>
      <c r="C168" s="36"/>
      <c r="D168" s="36"/>
      <c r="E168" s="36"/>
      <c r="F168" s="36"/>
      <c r="G168" s="36"/>
      <c r="H168" s="36"/>
      <c r="I168" s="34"/>
      <c r="J168" s="34"/>
      <c r="K168" s="34"/>
      <c r="L168" s="36"/>
      <c r="M168" s="33"/>
      <c r="N168" s="34"/>
      <c r="O168" s="27"/>
      <c r="P168" s="42"/>
      <c r="Q168" s="42"/>
      <c r="R168" s="42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2.75">
      <c r="A169" s="36"/>
      <c r="B169" s="36"/>
      <c r="C169" s="36"/>
      <c r="D169" s="36"/>
      <c r="E169" s="36"/>
      <c r="F169" s="36"/>
      <c r="G169" s="36"/>
      <c r="H169" s="36"/>
      <c r="I169" s="34"/>
      <c r="J169" s="34"/>
      <c r="K169" s="34"/>
      <c r="L169" s="36"/>
      <c r="M169" s="33"/>
      <c r="N169" s="34"/>
      <c r="O169" s="27"/>
      <c r="P169" s="42"/>
      <c r="Q169" s="42"/>
      <c r="R169" s="42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2.75">
      <c r="A170" s="36"/>
      <c r="B170" s="36"/>
      <c r="C170" s="36"/>
      <c r="D170" s="36"/>
      <c r="E170" s="36"/>
      <c r="F170" s="36"/>
      <c r="G170" s="36"/>
      <c r="H170" s="36"/>
      <c r="I170" s="34"/>
      <c r="J170" s="34"/>
      <c r="K170" s="34"/>
      <c r="L170" s="36"/>
      <c r="M170" s="33"/>
      <c r="N170" s="34"/>
      <c r="O170" s="27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1:28" ht="12.75">
      <c r="A171" s="36"/>
      <c r="B171" s="36"/>
      <c r="C171" s="36"/>
      <c r="D171" s="36"/>
      <c r="E171" s="36"/>
      <c r="F171" s="36"/>
      <c r="G171" s="36"/>
      <c r="H171" s="36"/>
      <c r="I171" s="34"/>
      <c r="J171" s="34"/>
      <c r="K171" s="34"/>
      <c r="L171" s="36"/>
      <c r="M171" s="33"/>
      <c r="N171" s="34"/>
      <c r="O171" s="27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</row>
    <row r="172" spans="1:28" ht="12.75">
      <c r="A172" s="36"/>
      <c r="B172" s="36"/>
      <c r="C172" s="36"/>
      <c r="D172" s="36"/>
      <c r="E172" s="36"/>
      <c r="F172" s="36"/>
      <c r="G172" s="36"/>
      <c r="H172" s="36"/>
      <c r="I172" s="34"/>
      <c r="J172" s="34"/>
      <c r="K172" s="34"/>
      <c r="L172" s="36"/>
      <c r="M172" s="33"/>
      <c r="N172" s="34"/>
      <c r="O172" s="27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</row>
    <row r="173" spans="1:28" ht="12.75">
      <c r="A173" s="36"/>
      <c r="B173" s="36"/>
      <c r="C173" s="36"/>
      <c r="D173" s="36"/>
      <c r="E173" s="36"/>
      <c r="G173" s="36"/>
      <c r="H173" s="36"/>
      <c r="I173" s="34"/>
      <c r="J173" s="34"/>
      <c r="K173" s="34"/>
      <c r="L173" s="36"/>
      <c r="M173" s="33"/>
      <c r="N173" s="34"/>
      <c r="O173" s="27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</row>
    <row r="174" spans="1:28" ht="12.75">
      <c r="A174" s="36"/>
      <c r="B174" s="36"/>
      <c r="C174" s="36"/>
      <c r="D174" s="36"/>
      <c r="E174" s="36"/>
      <c r="G174" s="36"/>
      <c r="H174" s="36"/>
      <c r="I174" s="34"/>
      <c r="J174" s="34"/>
      <c r="K174" s="34"/>
      <c r="L174" s="36"/>
      <c r="M174" s="33"/>
      <c r="N174" s="34"/>
      <c r="O174" s="27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</row>
    <row r="175" spans="1:15" s="42" customFormat="1" ht="12.75">
      <c r="A175" s="36"/>
      <c r="B175" s="36"/>
      <c r="C175" s="36"/>
      <c r="D175" s="36"/>
      <c r="E175" s="36"/>
      <c r="F175" s="4"/>
      <c r="G175" s="36"/>
      <c r="H175" s="36"/>
      <c r="I175" s="34"/>
      <c r="J175" s="34"/>
      <c r="K175" s="34"/>
      <c r="L175" s="36"/>
      <c r="M175" s="33"/>
      <c r="N175" s="34"/>
      <c r="O175" s="27"/>
    </row>
    <row r="176" spans="1:15" s="42" customFormat="1" ht="12.75">
      <c r="A176" s="36"/>
      <c r="B176" s="36"/>
      <c r="C176" s="36"/>
      <c r="D176" s="36"/>
      <c r="E176" s="36"/>
      <c r="F176" s="4"/>
      <c r="G176" s="36"/>
      <c r="H176" s="36"/>
      <c r="I176" s="34"/>
      <c r="J176" s="34"/>
      <c r="K176" s="34"/>
      <c r="L176" s="36"/>
      <c r="M176" s="33"/>
      <c r="N176" s="34"/>
      <c r="O176" s="27"/>
    </row>
    <row r="177" spans="1:18" s="42" customFormat="1" ht="12.75">
      <c r="A177" s="36"/>
      <c r="B177" s="36"/>
      <c r="C177" s="36"/>
      <c r="D177" s="36"/>
      <c r="E177" s="36"/>
      <c r="F177" s="4"/>
      <c r="G177" s="36"/>
      <c r="H177" s="36"/>
      <c r="I177" s="34"/>
      <c r="J177" s="34"/>
      <c r="K177" s="34"/>
      <c r="L177" s="4"/>
      <c r="M177" s="33"/>
      <c r="N177" s="34"/>
      <c r="O177" s="27"/>
      <c r="P177" s="90"/>
      <c r="Q177" s="90"/>
      <c r="R177" s="90"/>
    </row>
    <row r="178" spans="1:18" s="42" customFormat="1" ht="12.75">
      <c r="A178" s="36"/>
      <c r="B178" s="36"/>
      <c r="C178" s="36"/>
      <c r="D178" s="4"/>
      <c r="E178" s="36"/>
      <c r="F178" s="4"/>
      <c r="G178" s="36"/>
      <c r="H178" s="36"/>
      <c r="I178" s="34"/>
      <c r="J178" s="34"/>
      <c r="K178" s="34"/>
      <c r="L178" s="4"/>
      <c r="M178" s="33"/>
      <c r="N178" s="34"/>
      <c r="O178" s="27"/>
      <c r="P178" s="34"/>
      <c r="Q178" s="34"/>
      <c r="R178" s="34"/>
    </row>
    <row r="179" spans="1:18" s="42" customFormat="1" ht="12.75">
      <c r="A179" s="36"/>
      <c r="B179" s="36"/>
      <c r="C179" s="36"/>
      <c r="D179" s="4"/>
      <c r="E179" s="36"/>
      <c r="F179" s="4"/>
      <c r="G179" s="36"/>
      <c r="H179" s="36"/>
      <c r="I179" s="34"/>
      <c r="J179" s="34"/>
      <c r="K179" s="34"/>
      <c r="L179" s="4"/>
      <c r="M179" s="33"/>
      <c r="N179" s="34"/>
      <c r="O179" s="27"/>
      <c r="P179" s="34"/>
      <c r="Q179" s="34"/>
      <c r="R179" s="34"/>
    </row>
    <row r="180" spans="1:18" s="42" customFormat="1" ht="12.75">
      <c r="A180" s="4"/>
      <c r="B180" s="4"/>
      <c r="C180" s="36"/>
      <c r="D180" s="4"/>
      <c r="E180" s="36"/>
      <c r="F180" s="4"/>
      <c r="G180" s="36"/>
      <c r="H180" s="36"/>
      <c r="I180" s="34"/>
      <c r="J180" s="34"/>
      <c r="K180" s="34"/>
      <c r="L180" s="4"/>
      <c r="M180" s="33"/>
      <c r="N180" s="34"/>
      <c r="O180" s="27"/>
      <c r="P180" s="34"/>
      <c r="Q180" s="34"/>
      <c r="R180" s="34"/>
    </row>
    <row r="181" spans="1:18" s="42" customFormat="1" ht="12.75">
      <c r="A181" s="4"/>
      <c r="B181" s="4"/>
      <c r="C181" s="36"/>
      <c r="D181" s="4"/>
      <c r="E181" s="36"/>
      <c r="F181" s="4"/>
      <c r="G181" s="36"/>
      <c r="H181" s="36"/>
      <c r="I181" s="34"/>
      <c r="J181" s="34"/>
      <c r="K181" s="34"/>
      <c r="L181" s="4"/>
      <c r="M181" s="33"/>
      <c r="N181" s="5"/>
      <c r="O181" s="27"/>
      <c r="P181" s="34"/>
      <c r="Q181" s="34"/>
      <c r="R181" s="34"/>
    </row>
    <row r="182" spans="1:18" s="42" customFormat="1" ht="12.75">
      <c r="A182" s="4"/>
      <c r="B182" s="4"/>
      <c r="C182" s="36"/>
      <c r="D182" s="4"/>
      <c r="E182" s="36"/>
      <c r="F182" s="4"/>
      <c r="G182" s="36"/>
      <c r="H182" s="36"/>
      <c r="I182" s="34"/>
      <c r="J182" s="34"/>
      <c r="K182" s="34"/>
      <c r="L182" s="4"/>
      <c r="M182" s="33"/>
      <c r="N182" s="5"/>
      <c r="O182" s="27"/>
      <c r="P182" s="34"/>
      <c r="Q182" s="34"/>
      <c r="R182" s="34"/>
    </row>
    <row r="183" spans="1:18" s="42" customFormat="1" ht="12.75">
      <c r="A183" s="4"/>
      <c r="B183" s="4"/>
      <c r="C183" s="36"/>
      <c r="D183" s="4"/>
      <c r="E183" s="36"/>
      <c r="F183" s="4"/>
      <c r="G183" s="36"/>
      <c r="H183" s="36"/>
      <c r="I183" s="34"/>
      <c r="J183" s="34"/>
      <c r="K183" s="34"/>
      <c r="L183" s="4"/>
      <c r="M183" s="65"/>
      <c r="N183" s="5"/>
      <c r="O183" s="27"/>
      <c r="P183" s="34"/>
      <c r="Q183" s="34"/>
      <c r="R183" s="34"/>
    </row>
    <row r="184" spans="1:18" s="42" customFormat="1" ht="12.75">
      <c r="A184" s="4"/>
      <c r="B184" s="4"/>
      <c r="C184" s="36"/>
      <c r="D184" s="4"/>
      <c r="E184" s="36"/>
      <c r="F184" s="4"/>
      <c r="G184" s="36"/>
      <c r="H184" s="36"/>
      <c r="I184" s="34"/>
      <c r="J184" s="34"/>
      <c r="K184" s="34"/>
      <c r="L184" s="4"/>
      <c r="M184" s="65"/>
      <c r="N184" s="5"/>
      <c r="O184" s="27"/>
      <c r="P184" s="34"/>
      <c r="Q184" s="34"/>
      <c r="R184" s="34"/>
    </row>
    <row r="185" spans="1:18" s="42" customFormat="1" ht="12.75">
      <c r="A185" s="4"/>
      <c r="B185" s="4"/>
      <c r="C185" s="36"/>
      <c r="D185" s="4"/>
      <c r="E185" s="36"/>
      <c r="F185" s="4"/>
      <c r="G185" s="36"/>
      <c r="H185" s="36"/>
      <c r="I185" s="34"/>
      <c r="J185" s="34"/>
      <c r="K185" s="34"/>
      <c r="L185" s="4"/>
      <c r="M185" s="65"/>
      <c r="N185" s="5"/>
      <c r="O185" s="27"/>
      <c r="P185" s="34"/>
      <c r="Q185" s="34"/>
      <c r="R185" s="34"/>
    </row>
    <row r="186" spans="1:18" s="42" customFormat="1" ht="12.75">
      <c r="A186" s="4"/>
      <c r="B186" s="4"/>
      <c r="C186" s="36"/>
      <c r="D186" s="4"/>
      <c r="E186" s="36"/>
      <c r="F186" s="4"/>
      <c r="G186" s="36"/>
      <c r="H186" s="36"/>
      <c r="I186" s="34"/>
      <c r="J186" s="34"/>
      <c r="K186" s="34"/>
      <c r="L186" s="4"/>
      <c r="M186" s="65"/>
      <c r="N186" s="5"/>
      <c r="O186" s="27"/>
      <c r="P186" s="34"/>
      <c r="Q186" s="34"/>
      <c r="R186" s="34"/>
    </row>
    <row r="187" spans="1:61" s="3" customFormat="1" ht="12.75">
      <c r="A187" s="4"/>
      <c r="B187" s="4"/>
      <c r="C187" s="4"/>
      <c r="D187" s="4"/>
      <c r="E187" s="4"/>
      <c r="F187" s="4"/>
      <c r="G187" s="4"/>
      <c r="H187" s="4"/>
      <c r="I187" s="5"/>
      <c r="J187" s="5"/>
      <c r="K187" s="5"/>
      <c r="L187" s="4"/>
      <c r="M187" s="65"/>
      <c r="N187" s="5"/>
      <c r="O187" s="6"/>
      <c r="P187" s="4"/>
      <c r="Q187" s="4"/>
      <c r="R187" s="4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</row>
    <row r="188" spans="1:61" s="3" customFormat="1" ht="12.75">
      <c r="A188" s="4"/>
      <c r="B188" s="4"/>
      <c r="C188" s="4"/>
      <c r="D188" s="4"/>
      <c r="E188" s="4"/>
      <c r="F188" s="4"/>
      <c r="G188" s="4"/>
      <c r="H188" s="4"/>
      <c r="I188" s="5"/>
      <c r="J188" s="5"/>
      <c r="K188" s="5"/>
      <c r="L188" s="4"/>
      <c r="M188" s="65"/>
      <c r="N188" s="5"/>
      <c r="O188" s="6"/>
      <c r="P188" s="4"/>
      <c r="Q188" s="4"/>
      <c r="R188" s="4"/>
      <c r="S188" s="41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</row>
    <row r="189" spans="1:61" s="3" customFormat="1" ht="12.75">
      <c r="A189" s="4"/>
      <c r="B189" s="4"/>
      <c r="C189" s="4"/>
      <c r="D189" s="4"/>
      <c r="E189" s="4"/>
      <c r="F189" s="4"/>
      <c r="G189" s="4"/>
      <c r="H189" s="4"/>
      <c r="I189" s="5"/>
      <c r="J189" s="5"/>
      <c r="K189" s="5"/>
      <c r="L189" s="4"/>
      <c r="M189" s="65"/>
      <c r="N189" s="5"/>
      <c r="O189" s="6"/>
      <c r="P189" s="4"/>
      <c r="Q189" s="4"/>
      <c r="R189" s="4"/>
      <c r="S189" s="41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</row>
    <row r="190" spans="1:61" s="3" customFormat="1" ht="12.75">
      <c r="A190" s="4"/>
      <c r="B190" s="4"/>
      <c r="C190" s="4"/>
      <c r="D190" s="4"/>
      <c r="E190" s="4"/>
      <c r="F190" s="4"/>
      <c r="G190" s="4"/>
      <c r="H190" s="4"/>
      <c r="I190" s="5"/>
      <c r="J190" s="5"/>
      <c r="K190" s="5"/>
      <c r="L190" s="4"/>
      <c r="M190" s="65"/>
      <c r="N190" s="5"/>
      <c r="O190" s="6"/>
      <c r="P190" s="4"/>
      <c r="Q190" s="4"/>
      <c r="R190" s="4"/>
      <c r="S190" s="41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</row>
    <row r="191" spans="1:61" s="3" customFormat="1" ht="12.75">
      <c r="A191" s="4"/>
      <c r="B191" s="4"/>
      <c r="C191" s="4"/>
      <c r="D191" s="4"/>
      <c r="E191" s="4"/>
      <c r="F191" s="4"/>
      <c r="G191" s="4"/>
      <c r="H191" s="4"/>
      <c r="I191" s="5"/>
      <c r="J191" s="5"/>
      <c r="K191" s="5"/>
      <c r="L191" s="4"/>
      <c r="M191" s="65"/>
      <c r="N191" s="5"/>
      <c r="O191" s="5"/>
      <c r="P191" s="5"/>
      <c r="Q191" s="5"/>
      <c r="R191" s="26"/>
      <c r="S191" s="4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</row>
    <row r="192" spans="1:61" s="3" customFormat="1" ht="12.75">
      <c r="A192" s="4"/>
      <c r="B192" s="4"/>
      <c r="C192" s="4"/>
      <c r="D192" s="4"/>
      <c r="E192" s="4"/>
      <c r="F192" s="4"/>
      <c r="G192" s="4"/>
      <c r="H192" s="4"/>
      <c r="I192" s="5"/>
      <c r="J192" s="5"/>
      <c r="K192" s="5"/>
      <c r="L192" s="4"/>
      <c r="M192" s="65"/>
      <c r="N192" s="5"/>
      <c r="O192" s="5"/>
      <c r="P192" s="5"/>
      <c r="Q192" s="5"/>
      <c r="R192" s="26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</row>
    <row r="193" spans="1:61" s="3" customFormat="1" ht="12.75">
      <c r="A193" s="4"/>
      <c r="B193" s="4"/>
      <c r="C193" s="4"/>
      <c r="D193" s="4"/>
      <c r="E193" s="4"/>
      <c r="F193" s="4"/>
      <c r="G193" s="4"/>
      <c r="H193" s="4"/>
      <c r="I193" s="5"/>
      <c r="J193" s="5"/>
      <c r="K193" s="5"/>
      <c r="L193" s="4"/>
      <c r="M193" s="65"/>
      <c r="N193" s="5"/>
      <c r="O193" s="5"/>
      <c r="P193" s="5"/>
      <c r="Q193" s="5"/>
      <c r="R193" s="26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</row>
    <row r="194" spans="1:61" s="3" customFormat="1" ht="12.75">
      <c r="A194" s="4"/>
      <c r="B194" s="4"/>
      <c r="C194" s="4"/>
      <c r="D194" s="4"/>
      <c r="E194" s="4"/>
      <c r="F194" s="4"/>
      <c r="G194" s="4"/>
      <c r="H194" s="4"/>
      <c r="I194" s="5"/>
      <c r="J194" s="5"/>
      <c r="K194" s="5"/>
      <c r="L194" s="4"/>
      <c r="M194" s="65"/>
      <c r="N194" s="5"/>
      <c r="O194" s="5"/>
      <c r="P194" s="5"/>
      <c r="Q194" s="5"/>
      <c r="R194" s="26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</row>
    <row r="195" spans="1:61" s="3" customFormat="1" ht="12.75">
      <c r="A195" s="4"/>
      <c r="B195" s="4"/>
      <c r="C195" s="4"/>
      <c r="D195" s="4"/>
      <c r="E195" s="4"/>
      <c r="F195" s="4"/>
      <c r="G195" s="4"/>
      <c r="H195" s="4"/>
      <c r="I195" s="5"/>
      <c r="J195" s="5"/>
      <c r="K195" s="5"/>
      <c r="L195" s="4"/>
      <c r="M195" s="65"/>
      <c r="N195" s="5"/>
      <c r="O195" s="5"/>
      <c r="P195" s="5"/>
      <c r="Q195" s="5"/>
      <c r="R195" s="26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</row>
    <row r="196" spans="29:33" ht="12.75">
      <c r="AC196" s="42"/>
      <c r="AD196" s="42"/>
      <c r="AE196" s="42"/>
      <c r="AF196" s="42"/>
      <c r="AG196" s="42"/>
    </row>
  </sheetData>
  <sheetProtection sheet="1" objects="1" scenarios="1"/>
  <mergeCells count="27">
    <mergeCell ref="F31:G31"/>
    <mergeCell ref="F29:G29"/>
    <mergeCell ref="F33:G33"/>
    <mergeCell ref="D15:E15"/>
    <mergeCell ref="F25:G25"/>
    <mergeCell ref="F24:G24"/>
    <mergeCell ref="F27:G27"/>
    <mergeCell ref="F30:G30"/>
    <mergeCell ref="F35:G35"/>
    <mergeCell ref="F37:G37"/>
    <mergeCell ref="F42:G42"/>
    <mergeCell ref="A1:F1"/>
    <mergeCell ref="F17:G17"/>
    <mergeCell ref="E3:F3"/>
    <mergeCell ref="F19:G19"/>
    <mergeCell ref="F21:G21"/>
    <mergeCell ref="F22:G22"/>
    <mergeCell ref="F23:G23"/>
    <mergeCell ref="N44:O44"/>
    <mergeCell ref="A48:D48"/>
    <mergeCell ref="A49:D49"/>
    <mergeCell ref="F39:G39"/>
    <mergeCell ref="F41:G41"/>
    <mergeCell ref="F43:G43"/>
    <mergeCell ref="F44:L44"/>
    <mergeCell ref="I46:L46"/>
    <mergeCell ref="A44:B44"/>
  </mergeCells>
  <dataValidations count="3">
    <dataValidation type="list" allowBlank="1" showInputMessage="1" showErrorMessage="1" sqref="P65:P66 P19:Q43">
      <formula1>#REF!</formula1>
    </dataValidation>
    <dataValidation type="list" allowBlank="1" showInputMessage="1" showErrorMessage="1" sqref="O39 O19 O21:O25 O27 O33 O35 O37 O29:O31">
      <formula1>$A$51:$A$64</formula1>
    </dataValidation>
    <dataValidation type="list" allowBlank="1" showInputMessage="1" showErrorMessage="1" sqref="O40 O28 O38 O36 O34 O32">
      <formula1>$F$65:$F$76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paperSize="3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39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2.75"/>
  <cols>
    <col min="1" max="1" width="64.140625" style="4" customWidth="1"/>
    <col min="2" max="2" width="17.28125" style="4" customWidth="1"/>
    <col min="3" max="3" width="18.421875" style="4" customWidth="1"/>
    <col min="4" max="4" width="18.421875" style="5" customWidth="1"/>
    <col min="5" max="5" width="18.7109375" style="4" customWidth="1"/>
    <col min="6" max="6" width="20.8515625" style="5" customWidth="1"/>
    <col min="7" max="7" width="34.00390625" style="4" bestFit="1" customWidth="1"/>
    <col min="8" max="8" width="34.00390625" style="6" customWidth="1"/>
    <col min="9" max="16384" width="9.140625" style="4" customWidth="1"/>
  </cols>
  <sheetData>
    <row r="1" spans="1:5" ht="18.75" customHeight="1">
      <c r="A1" s="258" t="s">
        <v>51</v>
      </c>
      <c r="B1" s="258"/>
      <c r="C1" s="3"/>
      <c r="D1" s="3"/>
      <c r="E1" s="3"/>
    </row>
    <row r="2" spans="1:5" ht="18.75" customHeight="1">
      <c r="A2" s="102"/>
      <c r="B2" s="73"/>
      <c r="C2" s="73"/>
      <c r="D2" s="73"/>
      <c r="E2" s="73"/>
    </row>
    <row r="4" spans="1:17" ht="18">
      <c r="A4" s="7" t="s">
        <v>35</v>
      </c>
      <c r="B4" s="3"/>
      <c r="D4" s="4"/>
      <c r="F4" s="4"/>
      <c r="H4" s="5"/>
      <c r="J4" s="5"/>
      <c r="K4" s="5"/>
      <c r="L4" s="5"/>
      <c r="M4" s="5"/>
      <c r="N4" s="5"/>
      <c r="O4" s="5"/>
      <c r="Q4" s="6"/>
    </row>
    <row r="5" spans="1:17" ht="15.75">
      <c r="A5" s="8"/>
      <c r="B5" s="3"/>
      <c r="D5" s="4"/>
      <c r="F5" s="4"/>
      <c r="H5" s="5"/>
      <c r="J5" s="5"/>
      <c r="K5" s="5"/>
      <c r="L5" s="5"/>
      <c r="M5" s="5"/>
      <c r="N5" s="5"/>
      <c r="O5" s="5"/>
      <c r="Q5" s="6"/>
    </row>
    <row r="6" spans="1:17" ht="12.75">
      <c r="A6" s="48" t="s">
        <v>32</v>
      </c>
      <c r="B6" s="112" t="e">
        <f>'Site Data'!B81</f>
        <v>#DIV/0!</v>
      </c>
      <c r="D6" s="4"/>
      <c r="F6" s="4"/>
      <c r="H6" s="5"/>
      <c r="J6" s="5"/>
      <c r="K6" s="5"/>
      <c r="L6" s="5"/>
      <c r="M6" s="5"/>
      <c r="N6" s="5"/>
      <c r="O6" s="5"/>
      <c r="Q6" s="6"/>
    </row>
    <row r="7" spans="1:17" ht="12.75">
      <c r="A7" s="48" t="s">
        <v>150</v>
      </c>
      <c r="B7" s="112">
        <f>'D.A. A'!M44+'D.A. B'!M44+'D.A. C'!M44+'D.A. D'!M44+'D.A. E'!M44</f>
        <v>0</v>
      </c>
      <c r="D7" s="4"/>
      <c r="F7" s="4"/>
      <c r="H7" s="5"/>
      <c r="J7" s="5"/>
      <c r="K7" s="5"/>
      <c r="L7" s="5"/>
      <c r="M7" s="5"/>
      <c r="N7" s="5"/>
      <c r="O7" s="5"/>
      <c r="Q7" s="6"/>
    </row>
    <row r="8" ht="12.75">
      <c r="B8" s="3"/>
    </row>
    <row r="9" spans="1:2" ht="12.75">
      <c r="A9" s="48" t="s">
        <v>33</v>
      </c>
      <c r="B9" s="227" t="e">
        <f>IF(B6-B7&gt;0,B6-B7,0)</f>
        <v>#DIV/0!</v>
      </c>
    </row>
    <row r="10" spans="1:2" ht="12.75">
      <c r="A10" s="39"/>
      <c r="B10" s="47"/>
    </row>
    <row r="11" spans="6:8" ht="12.75">
      <c r="F11" s="6"/>
      <c r="H11" s="4"/>
    </row>
    <row r="12" spans="6:8" ht="12.75">
      <c r="F12" s="6"/>
      <c r="H12" s="4"/>
    </row>
    <row r="14" spans="1:2" ht="12.75">
      <c r="A14" s="206" t="s">
        <v>122</v>
      </c>
      <c r="B14" s="112" t="e">
        <f>IF(B9&lt;0.6*1/12*'Site Data'!B68*'Site Data'!B67*43560,B9*1.5,0.6*1/12*'Site Data'!B68*'Site Data'!B67*43560*1.5)</f>
        <v>#DIV/0!</v>
      </c>
    </row>
    <row r="15" spans="1:2" ht="12.75">
      <c r="A15" s="207" t="s">
        <v>121</v>
      </c>
      <c r="B15" s="112" t="e">
        <f>IF(B9&gt;0.6*1/12*'Site Data'!B68*'Site Data'!B67*43560,(B9-0.6*1/12*'Site Data'!B68*'Site Data'!B67*43560)*2,0)</f>
        <v>#DIV/0!</v>
      </c>
    </row>
    <row r="16" spans="1:2" ht="12.75">
      <c r="A16" s="48" t="s">
        <v>128</v>
      </c>
      <c r="B16" s="112" t="e">
        <f>B15+B14</f>
        <v>#DIV/0!</v>
      </c>
    </row>
    <row r="18" ht="12.75">
      <c r="B18" s="204"/>
    </row>
    <row r="22" ht="18">
      <c r="A22" s="99"/>
    </row>
    <row r="23" ht="18">
      <c r="A23" s="99"/>
    </row>
    <row r="33" spans="4:8" ht="12.75">
      <c r="D33" s="4"/>
      <c r="F33" s="4"/>
      <c r="H33" s="4"/>
    </row>
    <row r="34" spans="4:8" ht="12.75">
      <c r="D34" s="4"/>
      <c r="F34" s="4"/>
      <c r="H34" s="4"/>
    </row>
    <row r="35" spans="4:8" ht="12.75">
      <c r="D35" s="4"/>
      <c r="F35" s="4"/>
      <c r="H35" s="4"/>
    </row>
    <row r="36" spans="4:8" ht="12.75">
      <c r="D36" s="4"/>
      <c r="F36" s="4"/>
      <c r="H36" s="4"/>
    </row>
    <row r="37" spans="4:8" ht="12.75">
      <c r="D37" s="4"/>
      <c r="F37" s="4"/>
      <c r="H37" s="4"/>
    </row>
    <row r="38" spans="4:8" ht="12.75">
      <c r="D38" s="4"/>
      <c r="F38" s="4"/>
      <c r="H38" s="4"/>
    </row>
    <row r="39" spans="4:8" ht="12.75">
      <c r="D39" s="4"/>
      <c r="F39" s="4"/>
      <c r="H39" s="4"/>
    </row>
  </sheetData>
  <sheetProtection sheet="1" objects="1" scenarios="1"/>
  <mergeCells count="1">
    <mergeCell ref="A1:B1"/>
  </mergeCells>
  <printOptions gridLines="1"/>
  <pageMargins left="0.75" right="0.75" top="1" bottom="1" header="0.5" footer="0.5"/>
  <pageSetup fitToHeight="2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62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3.00390625" style="4" customWidth="1"/>
    <col min="2" max="2" width="23.57421875" style="4" customWidth="1"/>
    <col min="3" max="3" width="17.8515625" style="4" customWidth="1"/>
    <col min="4" max="4" width="17.8515625" style="5" bestFit="1" customWidth="1"/>
    <col min="5" max="5" width="17.8515625" style="4" customWidth="1"/>
    <col min="6" max="6" width="18.00390625" style="5" customWidth="1"/>
    <col min="7" max="7" width="18.00390625" style="4" customWidth="1"/>
    <col min="8" max="8" width="9.140625" style="6" customWidth="1"/>
    <col min="9" max="9" width="26.140625" style="4" customWidth="1"/>
    <col min="10" max="10" width="12.8515625" style="4" hidden="1" customWidth="1"/>
    <col min="11" max="11" width="13.28125" style="4" hidden="1" customWidth="1"/>
    <col min="12" max="12" width="13.00390625" style="4" hidden="1" customWidth="1"/>
    <col min="13" max="14" width="0" style="4" hidden="1" customWidth="1"/>
    <col min="15" max="16384" width="9.140625" style="4" customWidth="1"/>
  </cols>
  <sheetData>
    <row r="1" spans="1:17" ht="12.75">
      <c r="A1" s="21"/>
      <c r="B1" s="21"/>
      <c r="D1" s="214" t="s">
        <v>20</v>
      </c>
      <c r="E1" s="214" t="s">
        <v>103</v>
      </c>
      <c r="F1" s="214" t="s">
        <v>104</v>
      </c>
      <c r="G1" s="203"/>
      <c r="H1" s="5"/>
      <c r="J1" s="5"/>
      <c r="K1" s="5"/>
      <c r="L1" s="5"/>
      <c r="M1" s="5"/>
      <c r="N1" s="5"/>
      <c r="O1" s="5"/>
      <c r="Q1" s="6"/>
    </row>
    <row r="2" spans="1:20" ht="12.75">
      <c r="A2" s="268" t="s">
        <v>15</v>
      </c>
      <c r="B2" s="268"/>
      <c r="D2" s="1">
        <v>2.7</v>
      </c>
      <c r="E2" s="1">
        <v>3.35</v>
      </c>
      <c r="F2" s="1">
        <v>5.15</v>
      </c>
      <c r="G2" s="203"/>
      <c r="H2" s="5"/>
      <c r="J2" s="208"/>
      <c r="K2" s="110"/>
      <c r="L2" s="110"/>
      <c r="M2" s="211"/>
      <c r="N2" s="110"/>
      <c r="O2" s="110"/>
      <c r="P2" s="110"/>
      <c r="Q2" s="110"/>
      <c r="R2" s="110"/>
      <c r="S2" s="110"/>
      <c r="T2" s="36"/>
    </row>
    <row r="3" spans="1:20" ht="12.75">
      <c r="A3" s="50"/>
      <c r="B3" s="50"/>
      <c r="C3" s="51"/>
      <c r="D3" s="203"/>
      <c r="E3" s="203"/>
      <c r="F3" s="203"/>
      <c r="G3" s="203"/>
      <c r="H3" s="5"/>
      <c r="J3" s="212"/>
      <c r="K3" s="110"/>
      <c r="L3" s="110"/>
      <c r="M3" s="211"/>
      <c r="N3" s="213"/>
      <c r="O3" s="213"/>
      <c r="P3" s="213"/>
      <c r="Q3" s="213"/>
      <c r="R3" s="213"/>
      <c r="S3" s="213"/>
      <c r="T3" s="36"/>
    </row>
    <row r="4" spans="1:20" ht="12.75">
      <c r="A4" s="267" t="s">
        <v>11</v>
      </c>
      <c r="B4" s="267"/>
      <c r="C4" s="267"/>
      <c r="D4" s="4"/>
      <c r="F4" s="4"/>
      <c r="H4" s="5"/>
      <c r="J4" s="208"/>
      <c r="K4" s="110"/>
      <c r="L4" s="110"/>
      <c r="M4" s="209"/>
      <c r="N4" s="210"/>
      <c r="O4" s="210"/>
      <c r="P4" s="210"/>
      <c r="Q4" s="210"/>
      <c r="R4" s="210"/>
      <c r="S4" s="210"/>
      <c r="T4" s="36"/>
    </row>
    <row r="5" spans="1:20" ht="12.75">
      <c r="A5" s="266" t="s">
        <v>13</v>
      </c>
      <c r="B5" s="266"/>
      <c r="C5" s="165">
        <f>'D.A. A'!$F$11</f>
        <v>0</v>
      </c>
      <c r="D5" s="4"/>
      <c r="F5" s="4"/>
      <c r="H5" s="5"/>
      <c r="J5" s="212"/>
      <c r="K5" s="110"/>
      <c r="L5" s="110"/>
      <c r="M5" s="209"/>
      <c r="N5" s="210"/>
      <c r="O5" s="210"/>
      <c r="P5" s="210"/>
      <c r="Q5" s="210"/>
      <c r="R5" s="210"/>
      <c r="S5" s="210"/>
      <c r="T5" s="36"/>
    </row>
    <row r="6" spans="1:20" ht="12.75">
      <c r="A6" s="266" t="s">
        <v>120</v>
      </c>
      <c r="B6" s="266"/>
      <c r="C6" s="166">
        <f>'D.A. A'!M44</f>
        <v>0</v>
      </c>
      <c r="J6" s="208"/>
      <c r="K6" s="110"/>
      <c r="L6" s="110"/>
      <c r="M6" s="209"/>
      <c r="N6" s="210"/>
      <c r="O6" s="210"/>
      <c r="P6" s="210"/>
      <c r="Q6" s="210"/>
      <c r="R6" s="210"/>
      <c r="S6" s="210"/>
      <c r="T6" s="36"/>
    </row>
    <row r="7" spans="1:3" ht="12.75">
      <c r="A7" s="269"/>
      <c r="B7" s="269"/>
      <c r="C7" s="52"/>
    </row>
    <row r="8" spans="1:3" ht="12.75">
      <c r="A8" s="267" t="s">
        <v>111</v>
      </c>
      <c r="B8" s="267"/>
      <c r="C8" s="267"/>
    </row>
    <row r="9" spans="1:3" ht="12.75">
      <c r="A9" s="266" t="s">
        <v>13</v>
      </c>
      <c r="B9" s="266"/>
      <c r="C9" s="165">
        <f>'D.A. B'!$F$11</f>
        <v>0</v>
      </c>
    </row>
    <row r="10" spans="1:3" ht="12.75">
      <c r="A10" s="266" t="s">
        <v>120</v>
      </c>
      <c r="B10" s="266"/>
      <c r="C10" s="166">
        <f>'D.A. B'!M44</f>
        <v>0</v>
      </c>
    </row>
    <row r="11" spans="1:3" ht="12.75">
      <c r="A11" s="21"/>
      <c r="B11" s="21"/>
      <c r="C11" s="52"/>
    </row>
    <row r="12" spans="1:3" ht="12.75">
      <c r="A12" s="267" t="s">
        <v>112</v>
      </c>
      <c r="B12" s="267"/>
      <c r="C12" s="267"/>
    </row>
    <row r="13" spans="1:3" ht="12.75">
      <c r="A13" s="266" t="s">
        <v>13</v>
      </c>
      <c r="B13" s="266"/>
      <c r="C13" s="165">
        <f>'D.A. C'!$F$11</f>
        <v>0</v>
      </c>
    </row>
    <row r="14" spans="1:3" ht="12.75">
      <c r="A14" s="266" t="s">
        <v>120</v>
      </c>
      <c r="B14" s="266"/>
      <c r="C14" s="166">
        <f>'D.A. C'!M44</f>
        <v>0</v>
      </c>
    </row>
    <row r="15" spans="1:3" ht="12.75">
      <c r="A15" s="21"/>
      <c r="B15" s="21"/>
      <c r="C15" s="52"/>
    </row>
    <row r="16" spans="1:3" ht="12.75">
      <c r="A16" s="267" t="s">
        <v>113</v>
      </c>
      <c r="B16" s="267"/>
      <c r="C16" s="267"/>
    </row>
    <row r="17" spans="1:3" ht="12.75">
      <c r="A17" s="266" t="s">
        <v>13</v>
      </c>
      <c r="B17" s="266"/>
      <c r="C17" s="165">
        <f>'D.A. D'!$F$11</f>
        <v>0</v>
      </c>
    </row>
    <row r="18" spans="1:3" ht="12.75">
      <c r="A18" s="266" t="s">
        <v>120</v>
      </c>
      <c r="B18" s="266"/>
      <c r="C18" s="166">
        <f>'D.A. D'!M44</f>
        <v>0</v>
      </c>
    </row>
    <row r="19" spans="1:3" ht="12.75">
      <c r="A19" s="21"/>
      <c r="B19" s="21"/>
      <c r="C19" s="52"/>
    </row>
    <row r="20" spans="1:3" ht="12.75">
      <c r="A20" s="267" t="s">
        <v>114</v>
      </c>
      <c r="B20" s="267"/>
      <c r="C20" s="267"/>
    </row>
    <row r="21" spans="1:3" ht="12.75">
      <c r="A21" s="266" t="s">
        <v>13</v>
      </c>
      <c r="B21" s="266"/>
      <c r="C21" s="165">
        <f>'D.A. E'!$F$11</f>
        <v>0</v>
      </c>
    </row>
    <row r="22" spans="1:3" ht="12.75">
      <c r="A22" s="266" t="s">
        <v>120</v>
      </c>
      <c r="B22" s="266"/>
      <c r="C22" s="166">
        <f>'D.A. E'!M44</f>
        <v>0</v>
      </c>
    </row>
    <row r="23" spans="1:12" ht="12.75">
      <c r="A23" s="21"/>
      <c r="B23" s="21"/>
      <c r="C23" s="52"/>
      <c r="J23" s="4" t="str">
        <f>D1</f>
        <v>1-year storm</v>
      </c>
      <c r="K23" s="4" t="str">
        <f>E1</f>
        <v>2-year storm</v>
      </c>
      <c r="L23" s="4" t="str">
        <f>F1</f>
        <v>10-year storm</v>
      </c>
    </row>
    <row r="24" spans="1:14" ht="14.25">
      <c r="A24" s="53" t="s">
        <v>130</v>
      </c>
      <c r="B24" s="36"/>
      <c r="J24" s="4" t="s">
        <v>21</v>
      </c>
      <c r="M24" s="4" t="s">
        <v>18</v>
      </c>
      <c r="N24" s="4" t="s">
        <v>19</v>
      </c>
    </row>
    <row r="25" spans="1:2" ht="12.75">
      <c r="A25" s="36"/>
      <c r="B25" s="36"/>
    </row>
    <row r="26" spans="1:14" ht="13.5" thickBot="1">
      <c r="A26" s="265" t="s">
        <v>11</v>
      </c>
      <c r="B26" s="265"/>
      <c r="C26" s="54"/>
      <c r="D26" s="167" t="s">
        <v>3</v>
      </c>
      <c r="E26" s="167" t="s">
        <v>4</v>
      </c>
      <c r="F26" s="167" t="s">
        <v>5</v>
      </c>
      <c r="G26" s="167" t="s">
        <v>6</v>
      </c>
      <c r="H26" s="4"/>
      <c r="J26" s="4">
        <f aca="true" t="shared" si="0" ref="J26:J57">IF(D$2&gt;0.2*($N26),(D$2-0.2*($N26))^2/(D$2+0.8*($N26)),0)</f>
        <v>0</v>
      </c>
      <c r="K26" s="4">
        <f aca="true" t="shared" si="1" ref="K26:K57">IF(E$2&gt;0.2*($N26),(E$2-0.2*($N26))^2/(E$2+0.8*($N26)),0)</f>
        <v>0.007980456026058637</v>
      </c>
      <c r="L26" s="4">
        <f aca="true" t="shared" si="2" ref="L26:L57">IF(F$2&gt;0.2*($N26),(F$2-0.2*($N26))^2/(F$2+0.8*($N26)),0)</f>
        <v>0.2695335276967931</v>
      </c>
      <c r="M26" s="4">
        <v>40</v>
      </c>
      <c r="N26" s="4">
        <f aca="true" t="shared" si="3" ref="N26:N57">IF(M26&gt;0,1000/M26-10,1000)</f>
        <v>15</v>
      </c>
    </row>
    <row r="27" spans="1:14" ht="12.75">
      <c r="A27" s="259" t="s">
        <v>107</v>
      </c>
      <c r="B27" s="260"/>
      <c r="C27" s="182" t="s">
        <v>16</v>
      </c>
      <c r="D27" s="55">
        <f>'D.A. A'!$B$8</f>
        <v>0</v>
      </c>
      <c r="E27" s="55">
        <f>'D.A. A'!$C$8</f>
        <v>0</v>
      </c>
      <c r="F27" s="55">
        <f>'D.A. A'!$D$8</f>
        <v>0</v>
      </c>
      <c r="G27" s="55">
        <f>'D.A. A'!$E$8</f>
        <v>0</v>
      </c>
      <c r="H27" s="4"/>
      <c r="J27" s="4">
        <f t="shared" si="0"/>
        <v>0</v>
      </c>
      <c r="K27" s="4">
        <f t="shared" si="1"/>
        <v>0.008587096765408815</v>
      </c>
      <c r="L27" s="4">
        <f t="shared" si="2"/>
        <v>0.2734641715785205</v>
      </c>
      <c r="M27" s="4">
        <f aca="true" t="shared" si="4" ref="M27:M58">M26+0.1</f>
        <v>40.1</v>
      </c>
      <c r="N27" s="4">
        <f t="shared" si="3"/>
        <v>14.937655860349125</v>
      </c>
    </row>
    <row r="28" spans="1:14" ht="13.5" thickBot="1">
      <c r="A28" s="261"/>
      <c r="B28" s="262"/>
      <c r="C28" s="183" t="s">
        <v>18</v>
      </c>
      <c r="D28" s="83">
        <v>30</v>
      </c>
      <c r="E28" s="84">
        <v>55</v>
      </c>
      <c r="F28" s="84">
        <v>70</v>
      </c>
      <c r="G28" s="85">
        <v>77</v>
      </c>
      <c r="H28" s="4"/>
      <c r="J28" s="4">
        <f t="shared" si="0"/>
        <v>0</v>
      </c>
      <c r="K28" s="4">
        <f t="shared" si="1"/>
        <v>0.009214894909048825</v>
      </c>
      <c r="L28" s="4">
        <f t="shared" si="2"/>
        <v>0.27741618490858394</v>
      </c>
      <c r="M28" s="4">
        <f t="shared" si="4"/>
        <v>40.2</v>
      </c>
      <c r="N28" s="4">
        <f t="shared" si="3"/>
        <v>14.875621890547261</v>
      </c>
    </row>
    <row r="29" spans="1:14" ht="12.75">
      <c r="A29" s="259" t="s">
        <v>108</v>
      </c>
      <c r="B29" s="260"/>
      <c r="C29" s="182" t="s">
        <v>16</v>
      </c>
      <c r="D29" s="55">
        <f>'D.A. A'!$B$9</f>
        <v>0</v>
      </c>
      <c r="E29" s="55">
        <f>'D.A. A'!$C$9</f>
        <v>0</v>
      </c>
      <c r="F29" s="55">
        <f>'D.A. A'!$D$9</f>
        <v>0</v>
      </c>
      <c r="G29" s="55">
        <f>'D.A. A'!$E$9</f>
        <v>0</v>
      </c>
      <c r="H29" s="4"/>
      <c r="J29" s="4">
        <f t="shared" si="0"/>
        <v>0</v>
      </c>
      <c r="K29" s="4">
        <f t="shared" si="1"/>
        <v>0.009863747872623788</v>
      </c>
      <c r="L29" s="4">
        <f t="shared" si="2"/>
        <v>0.28138945955310013</v>
      </c>
      <c r="M29" s="4">
        <f t="shared" si="4"/>
        <v>40.300000000000004</v>
      </c>
      <c r="N29" s="4">
        <f t="shared" si="3"/>
        <v>14.813895781637715</v>
      </c>
    </row>
    <row r="30" spans="1:14" ht="13.5" thickBot="1">
      <c r="A30" s="261"/>
      <c r="B30" s="262"/>
      <c r="C30" s="183" t="s">
        <v>18</v>
      </c>
      <c r="D30" s="83">
        <v>39</v>
      </c>
      <c r="E30" s="84">
        <v>61</v>
      </c>
      <c r="F30" s="86">
        <v>74</v>
      </c>
      <c r="G30" s="84">
        <v>80</v>
      </c>
      <c r="H30" s="4"/>
      <c r="J30" s="4">
        <f t="shared" si="0"/>
        <v>0</v>
      </c>
      <c r="K30" s="4">
        <f t="shared" si="1"/>
        <v>0.010533554253912697</v>
      </c>
      <c r="L30" s="4">
        <f t="shared" si="2"/>
        <v>0.2853838885334087</v>
      </c>
      <c r="M30" s="4">
        <f t="shared" si="4"/>
        <v>40.400000000000006</v>
      </c>
      <c r="N30" s="4">
        <f t="shared" si="3"/>
        <v>14.75247524752475</v>
      </c>
    </row>
    <row r="31" spans="1:14" ht="12.75">
      <c r="A31" s="259" t="s">
        <v>14</v>
      </c>
      <c r="B31" s="260"/>
      <c r="C31" s="182" t="s">
        <v>16</v>
      </c>
      <c r="D31" s="55">
        <f>'D.A. A'!$B$10</f>
        <v>0</v>
      </c>
      <c r="E31" s="55">
        <f>'D.A. A'!$C$10</f>
        <v>0</v>
      </c>
      <c r="F31" s="55">
        <f>'D.A. A'!$D$10</f>
        <v>0</v>
      </c>
      <c r="G31" s="55">
        <f>'D.A. A'!$E$10</f>
        <v>0</v>
      </c>
      <c r="H31" s="4"/>
      <c r="J31" s="4">
        <f t="shared" si="0"/>
        <v>0</v>
      </c>
      <c r="K31" s="4">
        <f t="shared" si="1"/>
        <v>0.011224213818865165</v>
      </c>
      <c r="L31" s="4">
        <f t="shared" si="2"/>
        <v>0.2893993660119849</v>
      </c>
      <c r="M31" s="4">
        <f t="shared" si="4"/>
        <v>40.50000000000001</v>
      </c>
      <c r="N31" s="4">
        <f t="shared" si="3"/>
        <v>14.691358024691354</v>
      </c>
    </row>
    <row r="32" spans="1:14" ht="13.5" thickBot="1">
      <c r="A32" s="261"/>
      <c r="B32" s="262"/>
      <c r="C32" s="183" t="s">
        <v>18</v>
      </c>
      <c r="D32" s="56">
        <v>98</v>
      </c>
      <c r="E32" s="57">
        <v>98</v>
      </c>
      <c r="F32" s="57">
        <v>98</v>
      </c>
      <c r="G32" s="185">
        <v>98</v>
      </c>
      <c r="H32" s="4"/>
      <c r="J32" s="4">
        <f t="shared" si="0"/>
        <v>0</v>
      </c>
      <c r="K32" s="4">
        <f t="shared" si="1"/>
        <v>0.01193562748784758</v>
      </c>
      <c r="L32" s="4">
        <f t="shared" si="2"/>
        <v>0.29343578727856245</v>
      </c>
      <c r="M32" s="4">
        <f t="shared" si="4"/>
        <v>40.60000000000001</v>
      </c>
      <c r="N32" s="4">
        <f t="shared" si="3"/>
        <v>14.630541871921178</v>
      </c>
    </row>
    <row r="33" spans="2:14" ht="12.75">
      <c r="B33" s="5"/>
      <c r="G33" s="186" t="s">
        <v>17</v>
      </c>
      <c r="H33" s="186" t="s">
        <v>19</v>
      </c>
      <c r="J33" s="4">
        <f t="shared" si="0"/>
        <v>0</v>
      </c>
      <c r="K33" s="4">
        <f t="shared" si="1"/>
        <v>0.012667697322094894</v>
      </c>
      <c r="L33" s="4">
        <f t="shared" si="2"/>
        <v>0.2974930487364612</v>
      </c>
      <c r="M33" s="4">
        <f t="shared" si="4"/>
        <v>40.70000000000001</v>
      </c>
      <c r="N33" s="4">
        <f t="shared" si="3"/>
        <v>14.570024570024565</v>
      </c>
    </row>
    <row r="34" spans="7:14" ht="12.75">
      <c r="G34" s="78">
        <f>IF(C5&gt;0,(SUMPRODUCT(D27:G27,D28:G28)+SUMPRODUCT(D29:G29,D30:G30)+SUMPRODUCT(D31:G31,D32:G32))/C5,0)</f>
        <v>0</v>
      </c>
      <c r="H34" s="169">
        <f>IF(G34&gt;0,1000/G34-10,1000)</f>
        <v>1000</v>
      </c>
      <c r="J34" s="4">
        <f t="shared" si="0"/>
        <v>0</v>
      </c>
      <c r="K34" s="4">
        <f t="shared" si="1"/>
        <v>0.013420326510364324</v>
      </c>
      <c r="L34" s="4">
        <f t="shared" si="2"/>
        <v>0.30157104788911454</v>
      </c>
      <c r="M34" s="4">
        <f t="shared" si="4"/>
        <v>40.80000000000001</v>
      </c>
      <c r="N34" s="4">
        <f t="shared" si="3"/>
        <v>14.509803921568622</v>
      </c>
    </row>
    <row r="35" spans="1:14" ht="12.75">
      <c r="A35" s="58"/>
      <c r="C35" s="28"/>
      <c r="D35" s="184" t="str">
        <f>$D$1</f>
        <v>1-year storm</v>
      </c>
      <c r="E35" s="184" t="str">
        <f>$E$1</f>
        <v>2-year storm</v>
      </c>
      <c r="F35" s="184" t="str">
        <f>$F$1</f>
        <v>10-year storm</v>
      </c>
      <c r="G35" s="20"/>
      <c r="H35" s="28"/>
      <c r="J35" s="4">
        <f t="shared" si="0"/>
        <v>0</v>
      </c>
      <c r="K35" s="4">
        <f t="shared" si="1"/>
        <v>0.01419341935578813</v>
      </c>
      <c r="L35" s="4">
        <f t="shared" si="2"/>
        <v>0.30566968332679817</v>
      </c>
      <c r="M35" s="4">
        <f t="shared" si="4"/>
        <v>40.90000000000001</v>
      </c>
      <c r="N35" s="4">
        <f t="shared" si="3"/>
        <v>14.44987775061124</v>
      </c>
    </row>
    <row r="36" spans="1:14" ht="14.25">
      <c r="A36" s="263" t="s">
        <v>105</v>
      </c>
      <c r="B36" s="263"/>
      <c r="C36" s="264"/>
      <c r="D36" s="169">
        <f>IF(D$2&gt;0.2*($H34),(D$2-0.2*($H34))^2/(D$2+0.8*($H34)),0)</f>
        <v>0</v>
      </c>
      <c r="E36" s="169">
        <f>IF(E$2&gt;0.2*($H34),(E$2-0.2*($H34))^2/(E$2+0.8*($H34)),0)</f>
        <v>0</v>
      </c>
      <c r="F36" s="169">
        <f>IF(F$2&gt;0.2*($H34),(F$2-0.2*($H34))^2/(F$2+0.8*($H34)),0)</f>
        <v>0</v>
      </c>
      <c r="G36" s="20"/>
      <c r="H36" s="28"/>
      <c r="J36" s="4">
        <f t="shared" si="0"/>
        <v>0</v>
      </c>
      <c r="K36" s="4">
        <f t="shared" si="1"/>
        <v>0.014986881262921178</v>
      </c>
      <c r="L36" s="4">
        <f t="shared" si="2"/>
        <v>0.30978885471354944</v>
      </c>
      <c r="M36" s="4">
        <f t="shared" si="4"/>
        <v>41.000000000000014</v>
      </c>
      <c r="N36" s="4">
        <f t="shared" si="3"/>
        <v>14.390243902439018</v>
      </c>
    </row>
    <row r="37" spans="1:14" ht="14.25">
      <c r="A37" s="263" t="s">
        <v>106</v>
      </c>
      <c r="B37" s="263"/>
      <c r="C37" s="264"/>
      <c r="D37" s="169">
        <f>IF($C5&gt;0,D36-$C6/3630/$C5,D36)</f>
        <v>0</v>
      </c>
      <c r="E37" s="169">
        <f>IF($C5&gt;0,E36-$C6/3630/$C5,E36)</f>
        <v>0</v>
      </c>
      <c r="F37" s="169">
        <f>IF($C5&gt;0,F36-$C6/3630/$C5,F36)</f>
        <v>0</v>
      </c>
      <c r="J37" s="4">
        <f t="shared" si="0"/>
        <v>0</v>
      </c>
      <c r="K37" s="4">
        <f t="shared" si="1"/>
        <v>0.01580061872498121</v>
      </c>
      <c r="L37" s="4">
        <f t="shared" si="2"/>
        <v>0.31392846277428277</v>
      </c>
      <c r="M37" s="4">
        <f t="shared" si="4"/>
        <v>41.100000000000016</v>
      </c>
      <c r="N37" s="4">
        <f t="shared" si="3"/>
        <v>14.330900243308992</v>
      </c>
    </row>
    <row r="38" spans="1:14" ht="12.75">
      <c r="A38" s="59"/>
      <c r="B38" s="59"/>
      <c r="C38" s="39" t="s">
        <v>129</v>
      </c>
      <c r="D38" s="170">
        <f>IF(D37&gt;0,VLOOKUP(D37,J$26:$N$626,4),0)</f>
        <v>0</v>
      </c>
      <c r="E38" s="170">
        <f>IF(E37&gt;0,VLOOKUP(E37,K$26:$N$626,3),0)</f>
        <v>0</v>
      </c>
      <c r="F38" s="170">
        <f>IF(F37&gt;0,VLOOKUP(F37,L$26:$N$626,2),0)</f>
        <v>0</v>
      </c>
      <c r="J38" s="4">
        <f t="shared" si="0"/>
        <v>0</v>
      </c>
      <c r="K38" s="4">
        <f t="shared" si="1"/>
        <v>0.016634539311276862</v>
      </c>
      <c r="L38" s="4">
        <f t="shared" si="2"/>
        <v>0.31808840928208776</v>
      </c>
      <c r="M38" s="4">
        <f t="shared" si="4"/>
        <v>41.20000000000002</v>
      </c>
      <c r="N38" s="4">
        <f t="shared" si="3"/>
        <v>14.271844660194166</v>
      </c>
    </row>
    <row r="39" spans="1:14" ht="12.75">
      <c r="A39" s="6"/>
      <c r="B39" s="5"/>
      <c r="F39" s="6"/>
      <c r="J39" s="4">
        <f t="shared" si="0"/>
        <v>0</v>
      </c>
      <c r="K39" s="4">
        <f t="shared" si="1"/>
        <v>0.01748855165482247</v>
      </c>
      <c r="L39" s="4">
        <f t="shared" si="2"/>
        <v>0.3222685970457178</v>
      </c>
      <c r="M39" s="4">
        <f t="shared" si="4"/>
        <v>41.30000000000002</v>
      </c>
      <c r="N39" s="4">
        <f t="shared" si="3"/>
        <v>14.213075060532677</v>
      </c>
    </row>
    <row r="40" spans="1:14" ht="12.75">
      <c r="A40" s="180"/>
      <c r="B40" s="180"/>
      <c r="C40" s="77"/>
      <c r="D40" s="17"/>
      <c r="E40" s="17"/>
      <c r="F40" s="17"/>
      <c r="G40" s="17"/>
      <c r="H40" s="27"/>
      <c r="J40" s="4">
        <f t="shared" si="0"/>
        <v>0</v>
      </c>
      <c r="K40" s="4">
        <f t="shared" si="1"/>
        <v>0.018362565440134215</v>
      </c>
      <c r="L40" s="4">
        <f t="shared" si="2"/>
        <v>0.32646892989725596</v>
      </c>
      <c r="M40" s="4">
        <f t="shared" si="4"/>
        <v>41.40000000000002</v>
      </c>
      <c r="N40" s="4">
        <f t="shared" si="3"/>
        <v>14.154589371980666</v>
      </c>
    </row>
    <row r="41" spans="1:14" ht="13.5" thickBot="1">
      <c r="A41" s="265" t="s">
        <v>111</v>
      </c>
      <c r="B41" s="265"/>
      <c r="C41" s="54"/>
      <c r="D41" s="167" t="s">
        <v>3</v>
      </c>
      <c r="E41" s="167" t="s">
        <v>4</v>
      </c>
      <c r="F41" s="167" t="s">
        <v>5</v>
      </c>
      <c r="G41" s="167" t="s">
        <v>6</v>
      </c>
      <c r="H41" s="4"/>
      <c r="J41" s="4">
        <f t="shared" si="0"/>
        <v>0</v>
      </c>
      <c r="K41" s="4">
        <f t="shared" si="1"/>
        <v>0.019256491391206453</v>
      </c>
      <c r="L41" s="4">
        <f t="shared" si="2"/>
        <v>0.3306893126799628</v>
      </c>
      <c r="M41" s="4">
        <f t="shared" si="4"/>
        <v>41.50000000000002</v>
      </c>
      <c r="N41" s="4">
        <f t="shared" si="3"/>
        <v>14.096385542168662</v>
      </c>
    </row>
    <row r="42" spans="1:14" ht="12.75">
      <c r="A42" s="259" t="s">
        <v>107</v>
      </c>
      <c r="B42" s="260"/>
      <c r="C42" s="182" t="s">
        <v>16</v>
      </c>
      <c r="D42" s="55">
        <f>'D.A. B'!$B$8</f>
        <v>0</v>
      </c>
      <c r="E42" s="55">
        <f>'D.A. B'!$C$8</f>
        <v>0</v>
      </c>
      <c r="F42" s="55">
        <f>'D.A. B'!$D$8</f>
        <v>0</v>
      </c>
      <c r="G42" s="55">
        <f>'D.A. B'!$E$8</f>
        <v>0</v>
      </c>
      <c r="H42" s="4"/>
      <c r="J42" s="4">
        <f t="shared" si="0"/>
        <v>0</v>
      </c>
      <c r="K42" s="4">
        <f t="shared" si="1"/>
        <v>0.020170241259663775</v>
      </c>
      <c r="L42" s="4">
        <f t="shared" si="2"/>
        <v>0.334929651236297</v>
      </c>
      <c r="M42" s="4">
        <f t="shared" si="4"/>
        <v>41.60000000000002</v>
      </c>
      <c r="N42" s="4">
        <f t="shared" si="3"/>
        <v>14.038461538461526</v>
      </c>
    </row>
    <row r="43" spans="1:14" ht="13.5" thickBot="1">
      <c r="A43" s="261"/>
      <c r="B43" s="262"/>
      <c r="C43" s="183" t="s">
        <v>18</v>
      </c>
      <c r="D43" s="83">
        <v>30</v>
      </c>
      <c r="E43" s="84">
        <v>55</v>
      </c>
      <c r="F43" s="84">
        <v>70</v>
      </c>
      <c r="G43" s="85">
        <v>77</v>
      </c>
      <c r="H43" s="4"/>
      <c r="J43" s="4">
        <f t="shared" si="0"/>
        <v>0</v>
      </c>
      <c r="K43" s="4">
        <f t="shared" si="1"/>
        <v>0.021103727813087125</v>
      </c>
      <c r="L43" s="4">
        <f t="shared" si="2"/>
        <v>0.339189852396112</v>
      </c>
      <c r="M43" s="4">
        <f t="shared" si="4"/>
        <v>41.700000000000024</v>
      </c>
      <c r="N43" s="4">
        <f t="shared" si="3"/>
        <v>13.980815347721808</v>
      </c>
    </row>
    <row r="44" spans="1:14" ht="12.75">
      <c r="A44" s="259" t="s">
        <v>108</v>
      </c>
      <c r="B44" s="260"/>
      <c r="C44" s="182" t="s">
        <v>16</v>
      </c>
      <c r="D44" s="55">
        <f>'D.A. B'!$B$9</f>
        <v>0</v>
      </c>
      <c r="E44" s="55">
        <f>'D.A. B'!$C$9</f>
        <v>0</v>
      </c>
      <c r="F44" s="55">
        <f>'D.A. B'!$D$9</f>
        <v>0</v>
      </c>
      <c r="G44" s="55">
        <f>'D.A. B'!$E$9</f>
        <v>0</v>
      </c>
      <c r="H44" s="4"/>
      <c r="J44" s="4">
        <f t="shared" si="0"/>
        <v>0</v>
      </c>
      <c r="K44" s="4">
        <f t="shared" si="1"/>
        <v>0.022056864823509995</v>
      </c>
      <c r="L44" s="4">
        <f t="shared" si="2"/>
        <v>0.34346982396501985</v>
      </c>
      <c r="M44" s="4">
        <f t="shared" si="4"/>
        <v>41.800000000000026</v>
      </c>
      <c r="N44" s="4">
        <f t="shared" si="3"/>
        <v>13.923444976076539</v>
      </c>
    </row>
    <row r="45" spans="1:14" ht="13.5" thickBot="1">
      <c r="A45" s="261"/>
      <c r="B45" s="262"/>
      <c r="C45" s="183" t="s">
        <v>18</v>
      </c>
      <c r="D45" s="83">
        <v>39</v>
      </c>
      <c r="E45" s="84">
        <v>61</v>
      </c>
      <c r="F45" s="86">
        <v>74</v>
      </c>
      <c r="G45" s="84">
        <v>80</v>
      </c>
      <c r="H45" s="4"/>
      <c r="J45" s="4">
        <f t="shared" si="0"/>
        <v>0</v>
      </c>
      <c r="K45" s="4">
        <f t="shared" si="1"/>
        <v>0.023029567056082514</v>
      </c>
      <c r="L45" s="4">
        <f t="shared" si="2"/>
        <v>0.3477694747129231</v>
      </c>
      <c r="M45" s="4">
        <f t="shared" si="4"/>
        <v>41.90000000000003</v>
      </c>
      <c r="N45" s="4">
        <f t="shared" si="3"/>
        <v>13.866348448687337</v>
      </c>
    </row>
    <row r="46" spans="1:14" ht="12.75">
      <c r="A46" s="259" t="s">
        <v>14</v>
      </c>
      <c r="B46" s="260"/>
      <c r="C46" s="182" t="s">
        <v>16</v>
      </c>
      <c r="D46" s="55">
        <f>'D.A. B'!$B$10</f>
        <v>0</v>
      </c>
      <c r="E46" s="55">
        <f>'D.A. B'!$C$10</f>
        <v>0</v>
      </c>
      <c r="F46" s="55">
        <f>'D.A. B'!$D$10</f>
        <v>0</v>
      </c>
      <c r="G46" s="55">
        <f>'D.A. B'!$E$10</f>
        <v>0</v>
      </c>
      <c r="H46" s="4"/>
      <c r="J46" s="4">
        <f t="shared" si="0"/>
        <v>0</v>
      </c>
      <c r="K46" s="4">
        <f t="shared" si="1"/>
        <v>0.024021750257900702</v>
      </c>
      <c r="L46" s="4">
        <f t="shared" si="2"/>
        <v>0.35208871436271244</v>
      </c>
      <c r="M46" s="4">
        <f t="shared" si="4"/>
        <v>42.00000000000003</v>
      </c>
      <c r="N46" s="4">
        <f t="shared" si="3"/>
        <v>13.809523809523792</v>
      </c>
    </row>
    <row r="47" spans="1:14" ht="12.75" customHeight="1" thickBot="1">
      <c r="A47" s="261"/>
      <c r="B47" s="262"/>
      <c r="C47" s="183" t="s">
        <v>18</v>
      </c>
      <c r="D47" s="56">
        <v>98</v>
      </c>
      <c r="E47" s="57">
        <v>98</v>
      </c>
      <c r="F47" s="57">
        <v>98</v>
      </c>
      <c r="G47" s="185">
        <v>98</v>
      </c>
      <c r="H47" s="4"/>
      <c r="J47" s="4">
        <f t="shared" si="0"/>
        <v>0</v>
      </c>
      <c r="K47" s="4">
        <f t="shared" si="1"/>
        <v>0.02503333114699725</v>
      </c>
      <c r="L47" s="4">
        <f t="shared" si="2"/>
        <v>0.356427453579122</v>
      </c>
      <c r="M47" s="4">
        <f t="shared" si="4"/>
        <v>42.10000000000003</v>
      </c>
      <c r="N47" s="4">
        <f t="shared" si="3"/>
        <v>13.752969121140126</v>
      </c>
    </row>
    <row r="48" spans="2:14" ht="12.75" customHeight="1">
      <c r="B48" s="5"/>
      <c r="G48" s="186" t="s">
        <v>17</v>
      </c>
      <c r="H48" s="186" t="s">
        <v>19</v>
      </c>
      <c r="J48" s="4">
        <f t="shared" si="0"/>
        <v>0</v>
      </c>
      <c r="K48" s="4">
        <f t="shared" si="1"/>
        <v>0.026064227401492706</v>
      </c>
      <c r="L48" s="4">
        <f t="shared" si="2"/>
        <v>0.360785603957748</v>
      </c>
      <c r="M48" s="4">
        <f t="shared" si="4"/>
        <v>42.20000000000003</v>
      </c>
      <c r="N48" s="4">
        <f t="shared" si="3"/>
        <v>13.696682464454959</v>
      </c>
    </row>
    <row r="49" spans="7:14" ht="12.75" customHeight="1">
      <c r="G49" s="78">
        <f>IF(C9&gt;0,(SUMPRODUCT(D42:G42,D43:G43)+SUMPRODUCT(D44:G44,D45:G45)+SUMPRODUCT(D46:G46,D47:G47))/C9,0)</f>
        <v>0</v>
      </c>
      <c r="H49" s="169">
        <f>IF(G49&gt;0,1000/G49-10,1000)</f>
        <v>1000</v>
      </c>
      <c r="J49" s="4">
        <f t="shared" si="0"/>
        <v>0</v>
      </c>
      <c r="K49" s="4">
        <f t="shared" si="1"/>
        <v>0.027114357648902892</v>
      </c>
      <c r="L49" s="4">
        <f t="shared" si="2"/>
        <v>0.3651630780142206</v>
      </c>
      <c r="M49" s="4">
        <f t="shared" si="4"/>
        <v>42.30000000000003</v>
      </c>
      <c r="N49" s="4">
        <f t="shared" si="3"/>
        <v>13.640661938534262</v>
      </c>
    </row>
    <row r="50" spans="1:14" ht="12.75" customHeight="1">
      <c r="A50" s="58"/>
      <c r="C50" s="28"/>
      <c r="D50" s="184" t="str">
        <f>$D$1</f>
        <v>1-year storm</v>
      </c>
      <c r="E50" s="184" t="str">
        <f>$E$1</f>
        <v>2-year storm</v>
      </c>
      <c r="F50" s="184" t="str">
        <f>$F$1</f>
        <v>10-year storm</v>
      </c>
      <c r="G50" s="20"/>
      <c r="H50" s="28"/>
      <c r="J50" s="4">
        <f t="shared" si="0"/>
        <v>0</v>
      </c>
      <c r="K50" s="4">
        <f t="shared" si="1"/>
        <v>0.02818364145560105</v>
      </c>
      <c r="L50" s="4">
        <f t="shared" si="2"/>
        <v>0.36955978917353094</v>
      </c>
      <c r="M50" s="4">
        <f t="shared" si="4"/>
        <v>42.400000000000034</v>
      </c>
      <c r="N50" s="4">
        <f t="shared" si="3"/>
        <v>13.584905660377341</v>
      </c>
    </row>
    <row r="51" spans="1:14" ht="12.75" customHeight="1">
      <c r="A51" s="263" t="s">
        <v>105</v>
      </c>
      <c r="B51" s="263"/>
      <c r="C51" s="264"/>
      <c r="D51" s="169">
        <f>IF(D$2&gt;0.2*($H49),(D$2-0.2*($H49))^2/(D$2+0.8*($H49)),0)</f>
        <v>0</v>
      </c>
      <c r="E51" s="169">
        <f>IF(E$2&gt;0.2*($H49),(E$2-0.2*($H49))^2/(E$2+0.8*($H49)),0)</f>
        <v>0</v>
      </c>
      <c r="F51" s="169">
        <f>IF(F$2&gt;0.2*($H49),(F$2-0.2*($H49))^2/(F$2+0.8*($H49)),0)</f>
        <v>0</v>
      </c>
      <c r="G51" s="20"/>
      <c r="H51" s="28"/>
      <c r="J51" s="4">
        <f t="shared" si="0"/>
        <v>0</v>
      </c>
      <c r="K51" s="4">
        <f t="shared" si="1"/>
        <v>0.029271999316431676</v>
      </c>
      <c r="L51" s="4">
        <f t="shared" si="2"/>
        <v>0.3739756517595086</v>
      </c>
      <c r="M51" s="4">
        <f t="shared" si="4"/>
        <v>42.500000000000036</v>
      </c>
      <c r="N51" s="4">
        <f t="shared" si="3"/>
        <v>13.529411764705863</v>
      </c>
    </row>
    <row r="52" spans="1:14" ht="12.75" customHeight="1">
      <c r="A52" s="263" t="s">
        <v>106</v>
      </c>
      <c r="B52" s="263"/>
      <c r="C52" s="264"/>
      <c r="D52" s="169">
        <f>IF($C9&gt;0,D51-$C10/3630/$C9,D51)</f>
        <v>0</v>
      </c>
      <c r="E52" s="169">
        <f>IF($C9&gt;0,E51-$C10/3630/$C9,E51)</f>
        <v>0</v>
      </c>
      <c r="F52" s="169">
        <f>IF($C9&gt;0,F51-$C10/3630/$C9,F51)</f>
        <v>0</v>
      </c>
      <c r="J52" s="4">
        <f t="shared" si="0"/>
        <v>1.9785974621986414E-06</v>
      </c>
      <c r="K52" s="4">
        <f t="shared" si="1"/>
        <v>0.03037935264447343</v>
      </c>
      <c r="L52" s="4">
        <f t="shared" si="2"/>
        <v>0.3784105809844471</v>
      </c>
      <c r="M52" s="4">
        <f t="shared" si="4"/>
        <v>42.60000000000004</v>
      </c>
      <c r="N52" s="4">
        <f t="shared" si="3"/>
        <v>13.474178403755847</v>
      </c>
    </row>
    <row r="53" spans="1:14" ht="12.75">
      <c r="A53" s="59"/>
      <c r="B53" s="59"/>
      <c r="C53" s="39" t="s">
        <v>133</v>
      </c>
      <c r="D53" s="170">
        <f>IF(D52&gt;0,VLOOKUP(D52,J$26:$N$626,4),0)</f>
        <v>0</v>
      </c>
      <c r="E53" s="170">
        <f>IF(E52&gt;0,VLOOKUP(E52,K$26:$N$626,3),0)</f>
        <v>0</v>
      </c>
      <c r="F53" s="170">
        <f>IF(F52&gt;0,VLOOKUP(F52,L$26:$N$626,2),0)</f>
        <v>0</v>
      </c>
      <c r="J53" s="4">
        <f t="shared" si="0"/>
        <v>1.9435379567338815E-05</v>
      </c>
      <c r="K53" s="4">
        <f t="shared" si="1"/>
        <v>0.031505623760949404</v>
      </c>
      <c r="L53" s="4">
        <f t="shared" si="2"/>
        <v>0.38286449293887714</v>
      </c>
      <c r="M53" s="4">
        <f t="shared" si="4"/>
        <v>42.70000000000004</v>
      </c>
      <c r="N53" s="4">
        <f t="shared" si="3"/>
        <v>13.41920374707258</v>
      </c>
    </row>
    <row r="54" spans="1:14" ht="12.75">
      <c r="A54" s="180"/>
      <c r="B54" s="180"/>
      <c r="C54" s="77"/>
      <c r="D54" s="17"/>
      <c r="E54" s="17"/>
      <c r="F54" s="17"/>
      <c r="G54" s="17"/>
      <c r="H54" s="27"/>
      <c r="J54" s="4">
        <f t="shared" si="0"/>
        <v>5.48524885484998E-05</v>
      </c>
      <c r="K54" s="4">
        <f t="shared" si="1"/>
        <v>0.032650735885281876</v>
      </c>
      <c r="L54" s="4">
        <f t="shared" si="2"/>
        <v>0.38733730458148374</v>
      </c>
      <c r="M54" s="4">
        <f t="shared" si="4"/>
        <v>42.80000000000004</v>
      </c>
      <c r="N54" s="4">
        <f t="shared" si="3"/>
        <v>13.364485981308391</v>
      </c>
    </row>
    <row r="55" spans="1:14" ht="12.75">
      <c r="A55" s="25"/>
      <c r="B55" s="25"/>
      <c r="C55" s="178"/>
      <c r="D55" s="20"/>
      <c r="E55" s="20"/>
      <c r="F55" s="20"/>
      <c r="G55" s="20"/>
      <c r="H55" s="27"/>
      <c r="J55" s="4">
        <f t="shared" si="0"/>
        <v>0.00010815430720083956</v>
      </c>
      <c r="K55" s="4">
        <f t="shared" si="1"/>
        <v>0.03381461312528864</v>
      </c>
      <c r="L55" s="4">
        <f t="shared" si="2"/>
        <v>0.3918289337291622</v>
      </c>
      <c r="M55" s="4">
        <f t="shared" si="4"/>
        <v>42.90000000000004</v>
      </c>
      <c r="N55" s="4">
        <f t="shared" si="3"/>
        <v>13.310023310023286</v>
      </c>
    </row>
    <row r="56" spans="1:14" ht="12.75" customHeight="1" thickBot="1">
      <c r="A56" s="265" t="s">
        <v>112</v>
      </c>
      <c r="B56" s="265"/>
      <c r="C56" s="54"/>
      <c r="D56" s="167" t="s">
        <v>3</v>
      </c>
      <c r="E56" s="167" t="s">
        <v>4</v>
      </c>
      <c r="F56" s="167" t="s">
        <v>5</v>
      </c>
      <c r="G56" s="167" t="s">
        <v>6</v>
      </c>
      <c r="H56" s="4"/>
      <c r="J56" s="4">
        <f t="shared" si="0"/>
        <v>0.0001792661065109284</v>
      </c>
      <c r="K56" s="4">
        <f t="shared" si="1"/>
        <v>0.03499718046751965</v>
      </c>
      <c r="L56" s="4">
        <f t="shared" si="2"/>
        <v>0.3963392990472155</v>
      </c>
      <c r="M56" s="4">
        <f t="shared" si="4"/>
        <v>43.00000000000004</v>
      </c>
      <c r="N56" s="4">
        <f t="shared" si="3"/>
        <v>13.25581395348835</v>
      </c>
    </row>
    <row r="57" spans="1:14" ht="12.75">
      <c r="A57" s="259" t="s">
        <v>107</v>
      </c>
      <c r="B57" s="260"/>
      <c r="C57" s="182" t="s">
        <v>16</v>
      </c>
      <c r="D57" s="55">
        <f>'D.A. C'!$B$8</f>
        <v>0</v>
      </c>
      <c r="E57" s="55">
        <f>'D.A. C'!$C$8</f>
        <v>0</v>
      </c>
      <c r="F57" s="55">
        <f>'D.A. C'!$D$8</f>
        <v>0</v>
      </c>
      <c r="G57" s="55">
        <f>'D.A. C'!$E$8</f>
        <v>0</v>
      </c>
      <c r="H57" s="4"/>
      <c r="J57" s="4">
        <f t="shared" si="0"/>
        <v>0.0002681140362076348</v>
      </c>
      <c r="K57" s="4">
        <f t="shared" si="1"/>
        <v>0.03619836376773181</v>
      </c>
      <c r="L57" s="4">
        <f t="shared" si="2"/>
        <v>0.40086832003968975</v>
      </c>
      <c r="M57" s="4">
        <f t="shared" si="4"/>
        <v>43.100000000000044</v>
      </c>
      <c r="N57" s="4">
        <f t="shared" si="3"/>
        <v>13.201856148491856</v>
      </c>
    </row>
    <row r="58" spans="1:14" ht="12.75" customHeight="1" thickBot="1">
      <c r="A58" s="261"/>
      <c r="B58" s="262"/>
      <c r="C58" s="183" t="s">
        <v>18</v>
      </c>
      <c r="D58" s="83">
        <v>30</v>
      </c>
      <c r="E58" s="84">
        <v>55</v>
      </c>
      <c r="F58" s="84">
        <v>70</v>
      </c>
      <c r="G58" s="85">
        <v>77</v>
      </c>
      <c r="H58" s="4"/>
      <c r="J58" s="4">
        <f aca="true" t="shared" si="5" ref="J58:J89">IF(D$2&gt;0.2*($N58),(D$2-0.2*($N58))^2/(D$2+0.8*($N58)),0)</f>
        <v>0.0003746251154489286</v>
      </c>
      <c r="K58" s="4">
        <f aca="true" t="shared" si="6" ref="K58:K89">IF(E$2&gt;0.2*($N58),(E$2-0.2*($N58))^2/(E$2+0.8*($N58)),0)</f>
        <v>0.03741808974149796</v>
      </c>
      <c r="L58" s="4">
        <f aca="true" t="shared" si="7" ref="L58:L89">IF(F$2&gt;0.2*($N58),(F$2-0.2*($N58))^2/(F$2+0.8*($N58)),0)</f>
        <v>0.40541591703984065</v>
      </c>
      <c r="M58" s="4">
        <f t="shared" si="4"/>
        <v>43.200000000000045</v>
      </c>
      <c r="N58" s="4">
        <f aca="true" t="shared" si="8" ref="N58:N89">IF(M58&gt;0,1000/M58-10,1000)</f>
        <v>13.148148148148124</v>
      </c>
    </row>
    <row r="59" spans="1:14" ht="12.75">
      <c r="A59" s="259" t="s">
        <v>108</v>
      </c>
      <c r="B59" s="260"/>
      <c r="C59" s="182" t="s">
        <v>16</v>
      </c>
      <c r="D59" s="55">
        <f>'D.A. C'!$B$9</f>
        <v>0</v>
      </c>
      <c r="E59" s="55">
        <f>'D.A. C'!$C$9</f>
        <v>0</v>
      </c>
      <c r="F59" s="55">
        <f>'D.A. C'!$D$9</f>
        <v>0</v>
      </c>
      <c r="G59" s="55">
        <f>'D.A. C'!$E$9</f>
        <v>0</v>
      </c>
      <c r="H59" s="4"/>
      <c r="J59" s="4">
        <f t="shared" si="5"/>
        <v>0.0004987272236425514</v>
      </c>
      <c r="K59" s="4">
        <f t="shared" si="6"/>
        <v>0.038656285954950034</v>
      </c>
      <c r="L59" s="4">
        <f t="shared" si="7"/>
        <v>0.40998201120073563</v>
      </c>
      <c r="M59" s="4">
        <f aca="true" t="shared" si="9" ref="M59:M90">M58+0.1</f>
        <v>43.30000000000005</v>
      </c>
      <c r="N59" s="4">
        <f t="shared" si="8"/>
        <v>13.094688221708982</v>
      </c>
    </row>
    <row r="60" spans="1:14" ht="13.5" thickBot="1">
      <c r="A60" s="261"/>
      <c r="B60" s="262"/>
      <c r="C60" s="183" t="s">
        <v>18</v>
      </c>
      <c r="D60" s="83">
        <v>39</v>
      </c>
      <c r="E60" s="84">
        <v>61</v>
      </c>
      <c r="F60" s="86">
        <v>74</v>
      </c>
      <c r="G60" s="84">
        <v>80</v>
      </c>
      <c r="H60" s="4"/>
      <c r="J60" s="4">
        <f t="shared" si="5"/>
        <v>0.0006403490913983789</v>
      </c>
      <c r="K60" s="4">
        <f t="shared" si="6"/>
        <v>0.039912880815653154</v>
      </c>
      <c r="L60" s="4">
        <f t="shared" si="7"/>
        <v>0.41456652448598524</v>
      </c>
      <c r="M60" s="4">
        <f t="shared" si="9"/>
        <v>43.40000000000005</v>
      </c>
      <c r="N60" s="4">
        <f t="shared" si="8"/>
        <v>13.041474654377854</v>
      </c>
    </row>
    <row r="61" spans="1:14" ht="12.75">
      <c r="A61" s="259" t="s">
        <v>14</v>
      </c>
      <c r="B61" s="260"/>
      <c r="C61" s="182" t="s">
        <v>16</v>
      </c>
      <c r="D61" s="55">
        <f>'D.A. C'!$B$10</f>
        <v>0</v>
      </c>
      <c r="E61" s="55">
        <f>'D.A. C'!$C$10</f>
        <v>0</v>
      </c>
      <c r="F61" s="55">
        <f>'D.A. C'!$D$10</f>
        <v>0</v>
      </c>
      <c r="G61" s="55">
        <f>'D.A. C'!$E$10</f>
        <v>0</v>
      </c>
      <c r="H61" s="4"/>
      <c r="J61" s="4">
        <f t="shared" si="5"/>
        <v>0.0007994202916103601</v>
      </c>
      <c r="K61" s="4">
        <f t="shared" si="6"/>
        <v>0.04118780356360844</v>
      </c>
      <c r="L61" s="4">
        <f t="shared" si="7"/>
        <v>0.4191693796606029</v>
      </c>
      <c r="M61" s="4">
        <f t="shared" si="9"/>
        <v>43.50000000000005</v>
      </c>
      <c r="N61" s="4">
        <f t="shared" si="8"/>
        <v>12.98850574712641</v>
      </c>
    </row>
    <row r="62" spans="1:14" ht="13.5" thickBot="1">
      <c r="A62" s="261"/>
      <c r="B62" s="262"/>
      <c r="C62" s="183" t="s">
        <v>18</v>
      </c>
      <c r="D62" s="56">
        <v>98</v>
      </c>
      <c r="E62" s="57">
        <v>98</v>
      </c>
      <c r="F62" s="57">
        <v>98</v>
      </c>
      <c r="G62" s="185">
        <v>98</v>
      </c>
      <c r="H62" s="4"/>
      <c r="J62" s="4">
        <f t="shared" si="5"/>
        <v>0.0009758712306660225</v>
      </c>
      <c r="K62" s="4">
        <f t="shared" si="6"/>
        <v>0.042480984262382976</v>
      </c>
      <c r="L62" s="4">
        <f t="shared" si="7"/>
        <v>0.4237905002819903</v>
      </c>
      <c r="M62" s="4">
        <f t="shared" si="9"/>
        <v>43.60000000000005</v>
      </c>
      <c r="N62" s="4">
        <f t="shared" si="8"/>
        <v>12.935779816513733</v>
      </c>
    </row>
    <row r="63" spans="2:14" ht="12.75">
      <c r="B63" s="5"/>
      <c r="G63" s="186" t="s">
        <v>17</v>
      </c>
      <c r="H63" s="186" t="s">
        <v>19</v>
      </c>
      <c r="J63" s="4">
        <f t="shared" si="5"/>
        <v>0.001169633139781545</v>
      </c>
      <c r="K63" s="4">
        <f t="shared" si="6"/>
        <v>0.043792353790364884</v>
      </c>
      <c r="L63" s="4">
        <f t="shared" si="7"/>
        <v>0.4284298106910486</v>
      </c>
      <c r="M63" s="4">
        <f t="shared" si="9"/>
        <v>43.70000000000005</v>
      </c>
      <c r="N63" s="4">
        <f t="shared" si="8"/>
        <v>12.88329519450798</v>
      </c>
    </row>
    <row r="64" spans="7:14" ht="12.75">
      <c r="G64" s="78">
        <f>IF(C13&gt;0,(SUMPRODUCT(D57:G57,D58:G58)+SUMPRODUCT(D59:G59,D60:G60)+SUMPRODUCT(D61:G61,D62:G62))/C13,0)</f>
        <v>0</v>
      </c>
      <c r="H64" s="169">
        <f>IF(G64&gt;0,1000/G64-10,1000)</f>
        <v>1000</v>
      </c>
      <c r="J64" s="4">
        <f t="shared" si="5"/>
        <v>0.0013806380664603249</v>
      </c>
      <c r="K64" s="4">
        <f t="shared" si="6"/>
        <v>0.04512184383214081</v>
      </c>
      <c r="L64" s="4">
        <f t="shared" si="7"/>
        <v>0.43308723600340926</v>
      </c>
      <c r="M64" s="4">
        <f t="shared" si="9"/>
        <v>43.800000000000054</v>
      </c>
      <c r="N64" s="4">
        <f t="shared" si="8"/>
        <v>12.831050228310474</v>
      </c>
    </row>
    <row r="65" spans="1:14" ht="12.75">
      <c r="A65" s="58"/>
      <c r="C65" s="28"/>
      <c r="D65" s="184" t="str">
        <f>$D$1</f>
        <v>1-year storm</v>
      </c>
      <c r="E65" s="184" t="str">
        <f>$E$1</f>
        <v>2-year storm</v>
      </c>
      <c r="F65" s="184" t="str">
        <f>$F$1</f>
        <v>10-year storm</v>
      </c>
      <c r="G65" s="20"/>
      <c r="H65" s="28"/>
      <c r="J65" s="4">
        <f t="shared" si="5"/>
        <v>0.0016088188660733024</v>
      </c>
      <c r="K65" s="4">
        <f t="shared" si="6"/>
        <v>0.04646938686999526</v>
      </c>
      <c r="L65" s="4">
        <f t="shared" si="7"/>
        <v>0.43776270210078905</v>
      </c>
      <c r="M65" s="4">
        <f t="shared" si="9"/>
        <v>43.900000000000055</v>
      </c>
      <c r="N65" s="4">
        <f t="shared" si="8"/>
        <v>12.779043280182204</v>
      </c>
    </row>
    <row r="66" spans="1:14" ht="14.25">
      <c r="A66" s="263" t="s">
        <v>105</v>
      </c>
      <c r="B66" s="263"/>
      <c r="C66" s="264"/>
      <c r="D66" s="169">
        <f>IF(D$2&gt;0.2*($H64),(D$2-0.2*($H64))^2/(D$2+0.8*($H64)),0)</f>
        <v>0</v>
      </c>
      <c r="E66" s="169">
        <f>IF(E$2&gt;0.2*($H64),(E$2-0.2*($H64))^2/(E$2+0.8*($H64)),0)</f>
        <v>0</v>
      </c>
      <c r="F66" s="169">
        <f>IF(F$2&gt;0.2*($H64),(F$2-0.2*($H64))^2/(F$2+0.8*($H64)),0)</f>
        <v>0</v>
      </c>
      <c r="G66" s="20"/>
      <c r="H66" s="28"/>
      <c r="J66" s="4">
        <f t="shared" si="5"/>
        <v>0.001854109193558882</v>
      </c>
      <c r="K66" s="4">
        <f t="shared" si="6"/>
        <v>0.04783491617552832</v>
      </c>
      <c r="L66" s="4">
        <f t="shared" si="7"/>
        <v>0.44245613562245917</v>
      </c>
      <c r="M66" s="4">
        <f t="shared" si="9"/>
        <v>44.00000000000006</v>
      </c>
      <c r="N66" s="4">
        <f t="shared" si="8"/>
        <v>12.727272727272698</v>
      </c>
    </row>
    <row r="67" spans="1:14" ht="14.25">
      <c r="A67" s="263" t="s">
        <v>106</v>
      </c>
      <c r="B67" s="263"/>
      <c r="C67" s="264"/>
      <c r="D67" s="169">
        <f>IF($C13&gt;0,D66-$C14/3630/$C13,D66)</f>
        <v>0</v>
      </c>
      <c r="E67" s="169">
        <f>IF($C13&gt;0,E66-$C14/3630/$C13,E66)</f>
        <v>0</v>
      </c>
      <c r="F67" s="169">
        <f>IF($C13&gt;0,F66-$C14/3630/$C13,F66)</f>
        <v>0</v>
      </c>
      <c r="J67" s="4">
        <f t="shared" si="5"/>
        <v>0.0021164434952407425</v>
      </c>
      <c r="K67" s="4">
        <f t="shared" si="6"/>
        <v>0.04921836580139067</v>
      </c>
      <c r="L67" s="4">
        <f t="shared" si="7"/>
        <v>0.4471674639568329</v>
      </c>
      <c r="M67" s="4">
        <f t="shared" si="9"/>
        <v>44.10000000000006</v>
      </c>
      <c r="N67" s="4">
        <f t="shared" si="8"/>
        <v>12.675736961451218</v>
      </c>
    </row>
    <row r="68" spans="1:14" ht="12.75">
      <c r="A68" s="59"/>
      <c r="B68" s="59"/>
      <c r="C68" s="39" t="s">
        <v>134</v>
      </c>
      <c r="D68" s="170">
        <f>IF(D67&gt;0,VLOOKUP(D67,J$26:$N$626,4),0)</f>
        <v>0</v>
      </c>
      <c r="E68" s="170">
        <f>IF(E67&gt;0,VLOOKUP(E67,K$26:$N$626,3),0)</f>
        <v>0</v>
      </c>
      <c r="F68" s="170">
        <f>IF(F67&gt;0,VLOOKUP(F67,L$26:$N$626,2),0)</f>
        <v>0</v>
      </c>
      <c r="J68" s="4">
        <f t="shared" si="5"/>
        <v>0.0023957570007617553</v>
      </c>
      <c r="K68" s="4">
        <f t="shared" si="6"/>
        <v>0.050619670573134636</v>
      </c>
      <c r="L68" s="4">
        <f t="shared" si="7"/>
        <v>0.4518966152331688</v>
      </c>
      <c r="M68" s="4">
        <f t="shared" si="9"/>
        <v>44.20000000000006</v>
      </c>
      <c r="N68" s="4">
        <f t="shared" si="8"/>
        <v>12.62443438914024</v>
      </c>
    </row>
    <row r="69" spans="1:14" ht="12.75">
      <c r="A69" s="25"/>
      <c r="B69" s="25"/>
      <c r="C69" s="178"/>
      <c r="D69" s="20"/>
      <c r="E69" s="20"/>
      <c r="F69" s="20"/>
      <c r="G69" s="20"/>
      <c r="H69" s="27"/>
      <c r="J69" s="4">
        <f t="shared" si="5"/>
        <v>0.002691985715132011</v>
      </c>
      <c r="K69" s="4">
        <f t="shared" si="6"/>
        <v>0.05203876608117803</v>
      </c>
      <c r="L69" s="4">
        <f t="shared" si="7"/>
        <v>0.456643518313385</v>
      </c>
      <c r="M69" s="4">
        <f t="shared" si="9"/>
        <v>44.30000000000006</v>
      </c>
      <c r="N69" s="4">
        <f t="shared" si="8"/>
        <v>12.573363431151211</v>
      </c>
    </row>
    <row r="70" spans="1:14" ht="12.75">
      <c r="A70" s="25"/>
      <c r="B70" s="25"/>
      <c r="C70" s="178"/>
      <c r="D70" s="179"/>
      <c r="E70" s="179"/>
      <c r="F70" s="179"/>
      <c r="G70" s="179"/>
      <c r="H70" s="27"/>
      <c r="J70" s="4">
        <f t="shared" si="5"/>
        <v>0.0030050664108893883</v>
      </c>
      <c r="K70" s="4">
        <f t="shared" si="6"/>
        <v>0.053475588672880436</v>
      </c>
      <c r="L70" s="4">
        <f t="shared" si="7"/>
        <v>0.4614081027839857</v>
      </c>
      <c r="M70" s="4">
        <f t="shared" si="9"/>
        <v>44.40000000000006</v>
      </c>
      <c r="N70" s="4">
        <f t="shared" si="8"/>
        <v>12.52252252252249</v>
      </c>
    </row>
    <row r="71" spans="1:14" ht="13.5" thickBot="1">
      <c r="A71" s="265" t="s">
        <v>113</v>
      </c>
      <c r="B71" s="265"/>
      <c r="C71" s="54"/>
      <c r="D71" s="167" t="s">
        <v>3</v>
      </c>
      <c r="E71" s="167" t="s">
        <v>4</v>
      </c>
      <c r="F71" s="167" t="s">
        <v>5</v>
      </c>
      <c r="G71" s="167" t="s">
        <v>6</v>
      </c>
      <c r="H71" s="4"/>
      <c r="J71" s="4">
        <f t="shared" si="5"/>
        <v>0.003334936620370742</v>
      </c>
      <c r="K71" s="4">
        <f t="shared" si="6"/>
        <v>0.054930075444728936</v>
      </c>
      <c r="L71" s="4">
        <f t="shared" si="7"/>
        <v>0.4661902989480956</v>
      </c>
      <c r="M71" s="4">
        <f t="shared" si="9"/>
        <v>44.500000000000064</v>
      </c>
      <c r="N71" s="4">
        <f t="shared" si="8"/>
        <v>12.471910112359517</v>
      </c>
    </row>
    <row r="72" spans="1:14" ht="12.75">
      <c r="A72" s="259" t="s">
        <v>107</v>
      </c>
      <c r="B72" s="260"/>
      <c r="C72" s="182" t="s">
        <v>16</v>
      </c>
      <c r="D72" s="55">
        <f>'D.A. D'!$B$8</f>
        <v>0</v>
      </c>
      <c r="E72" s="55">
        <f>'D.A. D'!$C$8</f>
        <v>0</v>
      </c>
      <c r="F72" s="55">
        <f>'D.A. D'!$D$8</f>
        <v>0</v>
      </c>
      <c r="G72" s="55">
        <f>'D.A. D'!$E$8</f>
        <v>0</v>
      </c>
      <c r="H72" s="4"/>
      <c r="J72" s="4">
        <f t="shared" si="5"/>
        <v>0.003681534628092219</v>
      </c>
      <c r="K72" s="4">
        <f t="shared" si="6"/>
        <v>0.056402164234632866</v>
      </c>
      <c r="L72" s="4">
        <f t="shared" si="7"/>
        <v>0.4709900378176038</v>
      </c>
      <c r="M72" s="4">
        <f t="shared" si="9"/>
        <v>44.600000000000065</v>
      </c>
      <c r="N72" s="4">
        <f t="shared" si="8"/>
        <v>12.421524663677097</v>
      </c>
    </row>
    <row r="73" spans="1:14" ht="13.5" thickBot="1">
      <c r="A73" s="261"/>
      <c r="B73" s="262"/>
      <c r="C73" s="183" t="s">
        <v>18</v>
      </c>
      <c r="D73" s="83">
        <v>30</v>
      </c>
      <c r="E73" s="84">
        <v>55</v>
      </c>
      <c r="F73" s="84">
        <v>70</v>
      </c>
      <c r="G73" s="85">
        <v>77</v>
      </c>
      <c r="H73" s="4"/>
      <c r="J73" s="4">
        <f t="shared" si="5"/>
        <v>0.004044799463236867</v>
      </c>
      <c r="K73" s="4">
        <f t="shared" si="6"/>
        <v>0.057891793614324984</v>
      </c>
      <c r="L73" s="4">
        <f t="shared" si="7"/>
        <v>0.47580725110541255</v>
      </c>
      <c r="M73" s="4">
        <f t="shared" si="9"/>
        <v>44.70000000000007</v>
      </c>
      <c r="N73" s="4">
        <f t="shared" si="8"/>
        <v>12.371364653243816</v>
      </c>
    </row>
    <row r="74" spans="1:14" ht="12.75">
      <c r="A74" s="259" t="s">
        <v>108</v>
      </c>
      <c r="B74" s="260"/>
      <c r="C74" s="182" t="s">
        <v>16</v>
      </c>
      <c r="D74" s="55">
        <f>'D.A. D'!$B$9</f>
        <v>0</v>
      </c>
      <c r="E74" s="55">
        <f>'D.A. D'!$C$9</f>
        <v>0</v>
      </c>
      <c r="F74" s="55">
        <f>'D.A. D'!$D$9</f>
        <v>0</v>
      </c>
      <c r="G74" s="55">
        <f>'D.A. D'!$E$9</f>
        <v>0</v>
      </c>
      <c r="H74" s="4"/>
      <c r="J74" s="4">
        <f t="shared" si="5"/>
        <v>0.004424670892247945</v>
      </c>
      <c r="K74" s="4">
        <f t="shared" si="6"/>
        <v>0.05939890288186765</v>
      </c>
      <c r="L74" s="4">
        <f t="shared" si="7"/>
        <v>0.48064187121779073</v>
      </c>
      <c r="M74" s="4">
        <f t="shared" si="9"/>
        <v>44.80000000000007</v>
      </c>
      <c r="N74" s="4">
        <f t="shared" si="8"/>
        <v>12.321428571428537</v>
      </c>
    </row>
    <row r="75" spans="1:14" ht="13.5" thickBot="1">
      <c r="A75" s="261"/>
      <c r="B75" s="262"/>
      <c r="C75" s="183" t="s">
        <v>18</v>
      </c>
      <c r="D75" s="83">
        <v>39</v>
      </c>
      <c r="E75" s="84">
        <v>61</v>
      </c>
      <c r="F75" s="86">
        <v>74</v>
      </c>
      <c r="G75" s="84">
        <v>80</v>
      </c>
      <c r="H75" s="4"/>
      <c r="J75" s="4">
        <f t="shared" si="5"/>
        <v>0.004821089411526181</v>
      </c>
      <c r="K75" s="4">
        <f t="shared" si="6"/>
        <v>0.06092343205426198</v>
      </c>
      <c r="L75" s="4">
        <f t="shared" si="7"/>
        <v>0.48549383124682804</v>
      </c>
      <c r="M75" s="4">
        <f t="shared" si="9"/>
        <v>44.90000000000007</v>
      </c>
      <c r="N75" s="4">
        <f t="shared" si="8"/>
        <v>12.271714922048965</v>
      </c>
    </row>
    <row r="76" spans="1:14" ht="12.75">
      <c r="A76" s="259" t="s">
        <v>14</v>
      </c>
      <c r="B76" s="260"/>
      <c r="C76" s="182" t="s">
        <v>16</v>
      </c>
      <c r="D76" s="55">
        <f>'D.A. D'!$B$10</f>
        <v>0</v>
      </c>
      <c r="E76" s="55">
        <f>'D.A. D'!$C$10</f>
        <v>0</v>
      </c>
      <c r="F76" s="55">
        <f>'D.A. D'!$D$10</f>
        <v>0</v>
      </c>
      <c r="G76" s="55">
        <f>'D.A. D'!$E$10</f>
        <v>0</v>
      </c>
      <c r="H76" s="4"/>
      <c r="J76" s="4">
        <f t="shared" si="5"/>
        <v>0.005233996240229846</v>
      </c>
      <c r="K76" s="4">
        <f t="shared" si="6"/>
        <v>0.06246532186016003</v>
      </c>
      <c r="L76" s="4">
        <f t="shared" si="7"/>
        <v>0.4903630649629941</v>
      </c>
      <c r="M76" s="4">
        <f t="shared" si="9"/>
        <v>45.00000000000007</v>
      </c>
      <c r="N76" s="4">
        <f t="shared" si="8"/>
        <v>12.222222222222186</v>
      </c>
    </row>
    <row r="77" spans="1:14" ht="13.5" thickBot="1">
      <c r="A77" s="261"/>
      <c r="B77" s="262"/>
      <c r="C77" s="183" t="s">
        <v>18</v>
      </c>
      <c r="D77" s="56">
        <v>98</v>
      </c>
      <c r="E77" s="57">
        <v>98</v>
      </c>
      <c r="F77" s="57">
        <v>98</v>
      </c>
      <c r="G77" s="185">
        <v>98</v>
      </c>
      <c r="H77" s="4"/>
      <c r="J77" s="4">
        <f t="shared" si="5"/>
        <v>0.005663333313175354</v>
      </c>
      <c r="K77" s="4">
        <f t="shared" si="6"/>
        <v>0.0640245137326757</v>
      </c>
      <c r="L77" s="4">
        <f t="shared" si="7"/>
        <v>0.49524950680779234</v>
      </c>
      <c r="M77" s="4">
        <f t="shared" si="9"/>
        <v>45.10000000000007</v>
      </c>
      <c r="N77" s="4">
        <f t="shared" si="8"/>
        <v>12.172949002217258</v>
      </c>
    </row>
    <row r="78" spans="2:14" ht="12.75">
      <c r="B78" s="5"/>
      <c r="G78" s="186" t="s">
        <v>17</v>
      </c>
      <c r="H78" s="186" t="s">
        <v>19</v>
      </c>
      <c r="J78" s="4">
        <f t="shared" si="5"/>
        <v>0.006109043273837635</v>
      </c>
      <c r="K78" s="4">
        <f t="shared" si="6"/>
        <v>0.0656009498022957</v>
      </c>
      <c r="L78" s="4">
        <f t="shared" si="7"/>
        <v>0.5001530918865159</v>
      </c>
      <c r="M78" s="4">
        <f t="shared" si="9"/>
        <v>45.200000000000074</v>
      </c>
      <c r="N78" s="4">
        <f t="shared" si="8"/>
        <v>12.123893805309699</v>
      </c>
    </row>
    <row r="79" spans="7:14" ht="12.75">
      <c r="G79" s="78">
        <f>IF(C17&gt;0,(SUMPRODUCT(D72:G72,D73:G73)+SUMPRODUCT(D74:G74,D75:G75)+SUMPRODUCT(D76:G76,D77:G77))/C17,0)</f>
        <v>0</v>
      </c>
      <c r="H79" s="169">
        <f>IF(G79&gt;0,1000/G79-10,1000)</f>
        <v>1000</v>
      </c>
      <c r="J79" s="4">
        <f t="shared" si="5"/>
        <v>0.006571069467448273</v>
      </c>
      <c r="K79" s="4">
        <f t="shared" si="6"/>
        <v>0.0671945728898872</v>
      </c>
      <c r="L79" s="4">
        <f t="shared" si="7"/>
        <v>0.5050737559610986</v>
      </c>
      <c r="M79" s="4">
        <f t="shared" si="9"/>
        <v>45.300000000000075</v>
      </c>
      <c r="N79" s="4">
        <f t="shared" si="8"/>
        <v>12.075055187637933</v>
      </c>
    </row>
    <row r="80" spans="1:14" ht="12.75">
      <c r="A80" s="58"/>
      <c r="C80" s="28"/>
      <c r="D80" s="184" t="str">
        <f>$D$1</f>
        <v>1-year storm</v>
      </c>
      <c r="E80" s="184" t="str">
        <f>$E$1</f>
        <v>2-year storm</v>
      </c>
      <c r="F80" s="184" t="str">
        <f>$F$1</f>
        <v>10-year storm</v>
      </c>
      <c r="G80" s="20"/>
      <c r="H80" s="28"/>
      <c r="J80" s="4">
        <f t="shared" si="5"/>
        <v>0.00704935593418993</v>
      </c>
      <c r="K80" s="4">
        <f t="shared" si="6"/>
        <v>0.06880532649980076</v>
      </c>
      <c r="L80" s="4">
        <f t="shared" si="7"/>
        <v>0.5100114354430585</v>
      </c>
      <c r="M80" s="4">
        <f t="shared" si="9"/>
        <v>45.40000000000008</v>
      </c>
      <c r="N80" s="4">
        <f t="shared" si="8"/>
        <v>12.026431718061637</v>
      </c>
    </row>
    <row r="81" spans="1:14" ht="14.25">
      <c r="A81" s="263" t="s">
        <v>105</v>
      </c>
      <c r="B81" s="263"/>
      <c r="C81" s="264"/>
      <c r="D81" s="169">
        <f>IF(D$2&gt;0.2*($H79),(D$2-0.2*($H79))^2/(D$2+0.8*($H79)),0)</f>
        <v>0</v>
      </c>
      <c r="E81" s="169">
        <f>IF(E$2&gt;0.2*($H79),(E$2-0.2*($H79))^2/(E$2+0.8*($H79)),0)</f>
        <v>0</v>
      </c>
      <c r="F81" s="169">
        <f>IF(F$2&gt;0.2*($H79),(F$2-0.2*($H79))^2/(F$2+0.8*($H79)),0)</f>
        <v>0</v>
      </c>
      <c r="G81" s="20"/>
      <c r="H81" s="28"/>
      <c r="J81" s="4">
        <f t="shared" si="5"/>
        <v>0.007543847402486083</v>
      </c>
      <c r="K81" s="4">
        <f t="shared" si="6"/>
        <v>0.0704331548130686</v>
      </c>
      <c r="L81" s="4">
        <f t="shared" si="7"/>
        <v>0.5149660673865392</v>
      </c>
      <c r="M81" s="4">
        <f t="shared" si="9"/>
        <v>45.50000000000008</v>
      </c>
      <c r="N81" s="4">
        <f t="shared" si="8"/>
        <v>11.978021978021939</v>
      </c>
    </row>
    <row r="82" spans="1:14" ht="14.25">
      <c r="A82" s="263" t="s">
        <v>106</v>
      </c>
      <c r="B82" s="263"/>
      <c r="C82" s="264"/>
      <c r="D82" s="169">
        <f>IF($C17&gt;0,D81-$C18/3630/$C17,D81)</f>
        <v>0</v>
      </c>
      <c r="E82" s="169">
        <f>IF($C17&gt;0,E81-$C18/3630/$C17,E81)</f>
        <v>0</v>
      </c>
      <c r="F82" s="169">
        <f>IF($C17&gt;0,F81-$C18/3630/$C17,F81)</f>
        <v>0</v>
      </c>
      <c r="J82" s="4">
        <f t="shared" si="5"/>
        <v>0.00805448928238389</v>
      </c>
      <c r="K82" s="4">
        <f t="shared" si="6"/>
        <v>0.07207800268069442</v>
      </c>
      <c r="L82" s="4">
        <f t="shared" si="7"/>
        <v>0.5199375894814383</v>
      </c>
      <c r="M82" s="4">
        <f t="shared" si="9"/>
        <v>45.60000000000008</v>
      </c>
      <c r="N82" s="4">
        <f t="shared" si="8"/>
        <v>11.929824561403471</v>
      </c>
    </row>
    <row r="83" spans="1:14" ht="12.75">
      <c r="A83" s="59"/>
      <c r="B83" s="59"/>
      <c r="C83" s="39" t="s">
        <v>135</v>
      </c>
      <c r="D83" s="170">
        <f>IF(D82&gt;0,VLOOKUP(D82,J$26:$N$626,4),0)</f>
        <v>0</v>
      </c>
      <c r="E83" s="170">
        <f>IF(E82&gt;0,VLOOKUP(E82,K$26:$N$626,3),0)</f>
        <v>0</v>
      </c>
      <c r="F83" s="170">
        <f>IF(F82&gt;0,VLOOKUP(F82,L$26:$N$626,2),0)</f>
        <v>0</v>
      </c>
      <c r="J83" s="4">
        <f t="shared" si="5"/>
        <v>0.008581227659029795</v>
      </c>
      <c r="K83" s="4">
        <f t="shared" si="6"/>
        <v>0.0737398156170364</v>
      </c>
      <c r="L83" s="4">
        <f t="shared" si="7"/>
        <v>0.5249259400466332</v>
      </c>
      <c r="M83" s="4">
        <f t="shared" si="9"/>
        <v>45.70000000000008</v>
      </c>
      <c r="N83" s="4">
        <f t="shared" si="8"/>
        <v>11.88183807439821</v>
      </c>
    </row>
    <row r="84" spans="1:14" ht="12.75">
      <c r="A84" s="25"/>
      <c r="B84" s="25"/>
      <c r="C84" s="178"/>
      <c r="D84" s="179"/>
      <c r="E84" s="179"/>
      <c r="F84" s="179"/>
      <c r="G84" s="179"/>
      <c r="H84" s="27"/>
      <c r="J84" s="4">
        <f t="shared" si="5"/>
        <v>0.009124009286235172</v>
      </c>
      <c r="K84" s="4">
        <f t="shared" si="6"/>
        <v>0.07541853979327796</v>
      </c>
      <c r="L84" s="4">
        <f t="shared" si="7"/>
        <v>0.529931058023287</v>
      </c>
      <c r="M84" s="4">
        <f t="shared" si="9"/>
        <v>45.80000000000008</v>
      </c>
      <c r="N84" s="4">
        <f t="shared" si="8"/>
        <v>11.83406113537114</v>
      </c>
    </row>
    <row r="85" spans="1:14" ht="12.75">
      <c r="A85" s="25"/>
      <c r="B85" s="25"/>
      <c r="C85" s="178"/>
      <c r="D85" s="20"/>
      <c r="E85" s="20"/>
      <c r="F85" s="20"/>
      <c r="G85" s="20"/>
      <c r="H85" s="27"/>
      <c r="J85" s="4">
        <f t="shared" si="5"/>
        <v>0.009682781580132223</v>
      </c>
      <c r="K85" s="4">
        <f t="shared" si="6"/>
        <v>0.07711412203098986</v>
      </c>
      <c r="L85" s="4">
        <f t="shared" si="7"/>
        <v>0.5349528829682517</v>
      </c>
      <c r="M85" s="4">
        <f t="shared" si="9"/>
        <v>45.900000000000084</v>
      </c>
      <c r="N85" s="4">
        <f t="shared" si="8"/>
        <v>11.78649237472763</v>
      </c>
    </row>
    <row r="86" spans="1:14" ht="13.5" thickBot="1">
      <c r="A86" s="265" t="s">
        <v>114</v>
      </c>
      <c r="B86" s="265"/>
      <c r="C86" s="54"/>
      <c r="D86" s="167" t="s">
        <v>3</v>
      </c>
      <c r="E86" s="167" t="s">
        <v>4</v>
      </c>
      <c r="F86" s="167" t="s">
        <v>5</v>
      </c>
      <c r="G86" s="167" t="s">
        <v>6</v>
      </c>
      <c r="H86" s="4"/>
      <c r="J86" s="4">
        <f t="shared" si="5"/>
        <v>0.010257492612917361</v>
      </c>
      <c r="K86" s="4">
        <f t="shared" si="6"/>
        <v>0.07882650979577757</v>
      </c>
      <c r="L86" s="4">
        <f t="shared" si="7"/>
        <v>0.5399913550475517</v>
      </c>
      <c r="M86" s="4">
        <f t="shared" si="9"/>
        <v>46.000000000000085</v>
      </c>
      <c r="N86" s="4">
        <f t="shared" si="8"/>
        <v>11.739130434782567</v>
      </c>
    </row>
    <row r="87" spans="1:14" ht="12.75">
      <c r="A87" s="259" t="s">
        <v>107</v>
      </c>
      <c r="B87" s="260"/>
      <c r="C87" s="182" t="s">
        <v>16</v>
      </c>
      <c r="D87" s="55">
        <f>'D.A. E'!$B$8</f>
        <v>0</v>
      </c>
      <c r="E87" s="55">
        <f>'D.A. E'!$C$8</f>
        <v>0</v>
      </c>
      <c r="F87" s="55">
        <f>'D.A. E'!$D$8</f>
        <v>0</v>
      </c>
      <c r="G87" s="55">
        <f>'D.A. E'!$E$8</f>
        <v>0</v>
      </c>
      <c r="H87" s="4"/>
      <c r="J87" s="4">
        <f t="shared" si="5"/>
        <v>0.010848091106681581</v>
      </c>
      <c r="K87" s="4">
        <f t="shared" si="6"/>
        <v>0.08055565119101549</v>
      </c>
      <c r="L87" s="4">
        <f t="shared" si="7"/>
        <v>0.5450464150299537</v>
      </c>
      <c r="M87" s="4">
        <f t="shared" si="9"/>
        <v>46.10000000000009</v>
      </c>
      <c r="N87" s="4">
        <f t="shared" si="8"/>
        <v>11.691973969631196</v>
      </c>
    </row>
    <row r="88" spans="1:14" ht="13.5" thickBot="1">
      <c r="A88" s="261"/>
      <c r="B88" s="262"/>
      <c r="C88" s="183" t="s">
        <v>18</v>
      </c>
      <c r="D88" s="83">
        <v>30</v>
      </c>
      <c r="E88" s="84">
        <v>55</v>
      </c>
      <c r="F88" s="84">
        <v>70</v>
      </c>
      <c r="G88" s="85">
        <v>77</v>
      </c>
      <c r="H88" s="4"/>
      <c r="J88" s="4">
        <f t="shared" si="5"/>
        <v>0.01145452642732662</v>
      </c>
      <c r="K88" s="4">
        <f t="shared" si="6"/>
        <v>0.08230149495166651</v>
      </c>
      <c r="L88" s="4">
        <f t="shared" si="7"/>
        <v>0.5501180042806231</v>
      </c>
      <c r="M88" s="4">
        <f t="shared" si="9"/>
        <v>46.20000000000009</v>
      </c>
      <c r="N88" s="4">
        <f t="shared" si="8"/>
        <v>11.645021645021604</v>
      </c>
    </row>
    <row r="89" spans="1:14" ht="12.75">
      <c r="A89" s="259" t="s">
        <v>108</v>
      </c>
      <c r="B89" s="260"/>
      <c r="C89" s="182" t="s">
        <v>16</v>
      </c>
      <c r="D89" s="55">
        <f>'D.A. E'!$B$9</f>
        <v>0</v>
      </c>
      <c r="E89" s="55">
        <f>'D.A. E'!$C$9</f>
        <v>0</v>
      </c>
      <c r="F89" s="55">
        <f>'D.A. E'!$D$9</f>
        <v>0</v>
      </c>
      <c r="G89" s="55">
        <f>'D.A. E'!$E$9</f>
        <v>0</v>
      </c>
      <c r="H89" s="4"/>
      <c r="J89" s="4">
        <f t="shared" si="5"/>
        <v>0.012076748578565093</v>
      </c>
      <c r="K89" s="4">
        <f t="shared" si="6"/>
        <v>0.0840639904381844</v>
      </c>
      <c r="L89" s="4">
        <f t="shared" si="7"/>
        <v>0.5552060647548605</v>
      </c>
      <c r="M89" s="4">
        <f t="shared" si="9"/>
        <v>46.30000000000009</v>
      </c>
      <c r="N89" s="4">
        <f t="shared" si="8"/>
        <v>11.5982721382289</v>
      </c>
    </row>
    <row r="90" spans="1:14" ht="13.5" thickBot="1">
      <c r="A90" s="261"/>
      <c r="B90" s="262"/>
      <c r="C90" s="183" t="s">
        <v>18</v>
      </c>
      <c r="D90" s="83">
        <v>39</v>
      </c>
      <c r="E90" s="84">
        <v>61</v>
      </c>
      <c r="F90" s="86">
        <v>74</v>
      </c>
      <c r="G90" s="84">
        <v>80</v>
      </c>
      <c r="H90" s="4"/>
      <c r="J90" s="4">
        <f aca="true" t="shared" si="10" ref="J90:J118">IF(D$2&gt;0.2*($N90),(D$2-0.2*($N90))^2/(D$2+0.8*($N90)),0)</f>
        <v>0.012714708196003637</v>
      </c>
      <c r="K90" s="4">
        <f aca="true" t="shared" si="11" ref="K90:K118">IF(E$2&gt;0.2*($N90),(E$2-0.2*($N90))^2/(E$2+0.8*($N90)),0)</f>
        <v>0.08584308763049824</v>
      </c>
      <c r="L90" s="4">
        <f aca="true" t="shared" si="12" ref="L90:L118">IF(F$2&gt;0.2*($N90),(F$2-0.2*($N90))^2/(F$2+0.8*($N90)),0)</f>
        <v>0.5603105389919198</v>
      </c>
      <c r="M90" s="4">
        <f t="shared" si="9"/>
        <v>46.40000000000009</v>
      </c>
      <c r="N90" s="4">
        <f aca="true" t="shared" si="13" ref="N90:N118">IF(M90&gt;0,1000/M90-10,1000)</f>
        <v>11.551724137930993</v>
      </c>
    </row>
    <row r="91" spans="1:14" ht="12.75">
      <c r="A91" s="259" t="s">
        <v>14</v>
      </c>
      <c r="B91" s="260"/>
      <c r="C91" s="182" t="s">
        <v>16</v>
      </c>
      <c r="D91" s="55">
        <f>'D.A. E'!$B$10</f>
        <v>0</v>
      </c>
      <c r="E91" s="55">
        <f>'D.A. E'!$C$10</f>
        <v>0</v>
      </c>
      <c r="F91" s="55">
        <f>'D.A. E'!$D$10</f>
        <v>0</v>
      </c>
      <c r="G91" s="55">
        <f>'D.A. E'!$E$10</f>
        <v>0</v>
      </c>
      <c r="H91" s="4"/>
      <c r="J91" s="4">
        <f t="shared" si="10"/>
        <v>0.013368356541308303</v>
      </c>
      <c r="K91" s="4">
        <f t="shared" si="11"/>
        <v>0.08763873712207933</v>
      </c>
      <c r="L91" s="4">
        <f t="shared" si="12"/>
        <v>0.5654313701089092</v>
      </c>
      <c r="M91" s="4">
        <f aca="true" t="shared" si="14" ref="M91:M118">M90+0.1</f>
        <v>46.50000000000009</v>
      </c>
      <c r="N91" s="4">
        <f t="shared" si="13"/>
        <v>11.505376344085978</v>
      </c>
    </row>
    <row r="92" spans="1:14" ht="13.5" thickBot="1">
      <c r="A92" s="261"/>
      <c r="B92" s="262"/>
      <c r="C92" s="183" t="s">
        <v>18</v>
      </c>
      <c r="D92" s="56">
        <v>98</v>
      </c>
      <c r="E92" s="57">
        <v>98</v>
      </c>
      <c r="F92" s="57">
        <v>98</v>
      </c>
      <c r="G92" s="185">
        <v>98</v>
      </c>
      <c r="H92" s="4"/>
      <c r="J92" s="4">
        <f t="shared" si="10"/>
        <v>0.014037645496449883</v>
      </c>
      <c r="K92" s="4">
        <f t="shared" si="11"/>
        <v>0.08945089011408577</v>
      </c>
      <c r="L92" s="4">
        <f t="shared" si="12"/>
        <v>0.5705685017947657</v>
      </c>
      <c r="M92" s="4">
        <f t="shared" si="14"/>
        <v>46.600000000000094</v>
      </c>
      <c r="N92" s="4">
        <f t="shared" si="13"/>
        <v>11.459227467811115</v>
      </c>
    </row>
    <row r="93" spans="2:14" ht="12.75">
      <c r="B93" s="5"/>
      <c r="G93" s="186" t="s">
        <v>17</v>
      </c>
      <c r="H93" s="186" t="s">
        <v>19</v>
      </c>
      <c r="J93" s="4">
        <f t="shared" si="10"/>
        <v>0.014722527558029488</v>
      </c>
      <c r="K93" s="4">
        <f t="shared" si="11"/>
        <v>0.09127949840958813</v>
      </c>
      <c r="L93" s="4">
        <f t="shared" si="12"/>
        <v>0.5757218783043143</v>
      </c>
      <c r="M93" s="4">
        <f t="shared" si="14"/>
        <v>46.700000000000095</v>
      </c>
      <c r="N93" s="4">
        <f t="shared" si="13"/>
        <v>11.413276231263339</v>
      </c>
    </row>
    <row r="94" spans="7:14" ht="12.75">
      <c r="G94" s="78">
        <f>IF(C21&gt;0,(SUMPRODUCT(D87:G87,D88:G88)+SUMPRODUCT(D89:G89,D90:G90)+SUMPRODUCT(D91:G91,D92:G92))/C21,0)</f>
        <v>0</v>
      </c>
      <c r="H94" s="169">
        <f>IF(G94&gt;0,1000/G94-10,1000)</f>
        <v>1000</v>
      </c>
      <c r="J94" s="4">
        <f t="shared" si="10"/>
        <v>0.015422955831681776</v>
      </c>
      <c r="K94" s="4">
        <f t="shared" si="11"/>
        <v>0.09312451440787067</v>
      </c>
      <c r="L94" s="4">
        <f t="shared" si="12"/>
        <v>0.5808914444523986</v>
      </c>
      <c r="M94" s="4">
        <f t="shared" si="14"/>
        <v>46.8000000000001</v>
      </c>
      <c r="N94" s="4">
        <f t="shared" si="13"/>
        <v>11.367521367521324</v>
      </c>
    </row>
    <row r="95" spans="1:14" ht="12.75">
      <c r="A95" s="58"/>
      <c r="C95" s="28"/>
      <c r="D95" s="184" t="str">
        <f>$D$1</f>
        <v>1-year storm</v>
      </c>
      <c r="E95" s="184" t="str">
        <f>$E$1</f>
        <v>2-year storm</v>
      </c>
      <c r="F95" s="184" t="str">
        <f>$F$1</f>
        <v>10-year storm</v>
      </c>
      <c r="G95" s="20"/>
      <c r="H95" s="28"/>
      <c r="J95" s="4">
        <f t="shared" si="10"/>
        <v>0.016138884026555868</v>
      </c>
      <c r="K95" s="4">
        <f t="shared" si="11"/>
        <v>0.09498589109881057</v>
      </c>
      <c r="L95" s="4">
        <f t="shared" si="12"/>
        <v>0.58607714560809</v>
      </c>
      <c r="M95" s="4">
        <f t="shared" si="14"/>
        <v>46.9000000000001</v>
      </c>
      <c r="N95" s="4">
        <f t="shared" si="13"/>
        <v>11.32196162046904</v>
      </c>
    </row>
    <row r="96" spans="1:14" ht="12.75" customHeight="1">
      <c r="A96" s="263" t="s">
        <v>105</v>
      </c>
      <c r="B96" s="263"/>
      <c r="C96" s="264"/>
      <c r="D96" s="169">
        <f>IF(D$2&gt;0.2*($H94),(D$2-0.2*($H94))^2/(D$2+0.8*($H94)),0)</f>
        <v>0</v>
      </c>
      <c r="E96" s="169">
        <f>IF(E$2&gt;0.2*($H94),(E$2-0.2*($H94))^2/(E$2+0.8*($H94)),0)</f>
        <v>0</v>
      </c>
      <c r="F96" s="169">
        <f>IF(F$2&gt;0.2*($H94),(F$2-0.2*($H94))^2/(F$2+0.8*($H94)),0)</f>
        <v>0</v>
      </c>
      <c r="G96" s="20"/>
      <c r="H96" s="28"/>
      <c r="J96" s="4">
        <f t="shared" si="10"/>
        <v>0.016870266449871975</v>
      </c>
      <c r="K96" s="4">
        <f t="shared" si="11"/>
        <v>0.09686358205733114</v>
      </c>
      <c r="L96" s="4">
        <f t="shared" si="12"/>
        <v>0.5912789276889688</v>
      </c>
      <c r="M96" s="4">
        <f t="shared" si="14"/>
        <v>47.0000000000001</v>
      </c>
      <c r="N96" s="4">
        <f t="shared" si="13"/>
        <v>11.276595744680805</v>
      </c>
    </row>
    <row r="97" spans="1:14" ht="14.25">
      <c r="A97" s="263" t="s">
        <v>106</v>
      </c>
      <c r="B97" s="263"/>
      <c r="C97" s="264"/>
      <c r="D97" s="169">
        <f>IF($C21&gt;0,D96-$C22/3630/$C21,D96)</f>
        <v>0</v>
      </c>
      <c r="E97" s="169">
        <f>IF($C21&gt;0,E96-$C22/3630/$C21,E96)</f>
        <v>0</v>
      </c>
      <c r="F97" s="169">
        <f>IF($C21&gt;0,F96-$C22/3630/$C21,F96)</f>
        <v>0</v>
      </c>
      <c r="J97" s="4">
        <f t="shared" si="10"/>
        <v>0.017617058001552815</v>
      </c>
      <c r="K97" s="4">
        <f t="shared" si="11"/>
        <v>0.09875754143792917</v>
      </c>
      <c r="L97" s="4">
        <f t="shared" si="12"/>
        <v>0.5964967371554791</v>
      </c>
      <c r="M97" s="4">
        <f t="shared" si="14"/>
        <v>47.1000000000001</v>
      </c>
      <c r="N97" s="4">
        <f t="shared" si="13"/>
        <v>11.231422505307812</v>
      </c>
    </row>
    <row r="98" spans="1:14" ht="12.75">
      <c r="A98" s="59"/>
      <c r="B98" s="59"/>
      <c r="C98" s="39" t="s">
        <v>136</v>
      </c>
      <c r="D98" s="170">
        <f>IF(D97&gt;0,VLOOKUP(D97,J$26:$N$626,4),0)</f>
        <v>0</v>
      </c>
      <c r="E98" s="170">
        <f>IF(E97&gt;0,VLOOKUP(E97,K$26:$N$626,3),0)</f>
        <v>0</v>
      </c>
      <c r="F98" s="170">
        <f>IF(F97&gt;0,VLOOKUP(F97,L$26:$N$626,2),0)</f>
        <v>0</v>
      </c>
      <c r="J98" s="4">
        <f t="shared" si="10"/>
        <v>0.018379214168930097</v>
      </c>
      <c r="K98" s="4">
        <f t="shared" si="11"/>
        <v>0.10066772396927799</v>
      </c>
      <c r="L98" s="4">
        <f t="shared" si="12"/>
        <v>0.6017305210053614</v>
      </c>
      <c r="M98" s="4">
        <f t="shared" si="14"/>
        <v>47.2000000000001</v>
      </c>
      <c r="N98" s="4">
        <f t="shared" si="13"/>
        <v>11.186440677966054</v>
      </c>
    </row>
    <row r="99" spans="1:14" ht="12.75">
      <c r="A99" s="181"/>
      <c r="B99" s="181"/>
      <c r="C99" s="181"/>
      <c r="D99" s="181"/>
      <c r="E99" s="181"/>
      <c r="F99" s="181"/>
      <c r="G99" s="181"/>
      <c r="H99" s="181"/>
      <c r="J99" s="4">
        <f t="shared" si="10"/>
        <v>0.019156691021521826</v>
      </c>
      <c r="K99" s="4">
        <f t="shared" si="11"/>
        <v>0.1025940849488977</v>
      </c>
      <c r="L99" s="4">
        <f t="shared" si="12"/>
        <v>0.6069802267681437</v>
      </c>
      <c r="M99" s="4">
        <f t="shared" si="14"/>
        <v>47.300000000000104</v>
      </c>
      <c r="N99" s="4">
        <f t="shared" si="13"/>
        <v>11.141649048625748</v>
      </c>
    </row>
    <row r="100" spans="1:14" ht="12.75">
      <c r="A100" s="36"/>
      <c r="B100" s="36"/>
      <c r="J100" s="4">
        <f t="shared" si="10"/>
        <v>0.0199494452058837</v>
      </c>
      <c r="K100" s="4">
        <f t="shared" si="11"/>
        <v>0.10453658023790194</v>
      </c>
      <c r="L100" s="4">
        <f t="shared" si="12"/>
        <v>0.6122458024997189</v>
      </c>
      <c r="M100" s="4">
        <f t="shared" si="14"/>
        <v>47.400000000000105</v>
      </c>
      <c r="N100" s="4">
        <f t="shared" si="13"/>
        <v>11.097046413502063</v>
      </c>
    </row>
    <row r="101" spans="1:14" ht="12.75">
      <c r="A101" s="36"/>
      <c r="B101" s="36"/>
      <c r="J101" s="4">
        <f t="shared" si="10"/>
        <v>0.02075743394052937</v>
      </c>
      <c r="K101" s="4">
        <f t="shared" si="11"/>
        <v>0.10649516625581001</v>
      </c>
      <c r="L101" s="4">
        <f t="shared" si="12"/>
        <v>0.6175271967769774</v>
      </c>
      <c r="M101" s="4">
        <f t="shared" si="14"/>
        <v>47.50000000000011</v>
      </c>
      <c r="N101" s="4">
        <f t="shared" si="13"/>
        <v>11.05263157894732</v>
      </c>
    </row>
    <row r="102" spans="1:14" ht="12.75">
      <c r="A102" s="53"/>
      <c r="B102" s="36"/>
      <c r="J102" s="4">
        <f t="shared" si="10"/>
        <v>0.021580615010921626</v>
      </c>
      <c r="K102" s="4">
        <f t="shared" si="11"/>
        <v>0.10846979997543067</v>
      </c>
      <c r="L102" s="4">
        <f t="shared" si="12"/>
        <v>0.6228243586925148</v>
      </c>
      <c r="M102" s="4">
        <f t="shared" si="14"/>
        <v>47.60000000000011</v>
      </c>
      <c r="N102" s="4">
        <f t="shared" si="13"/>
        <v>11.008403361344492</v>
      </c>
    </row>
    <row r="103" spans="1:14" ht="12.75">
      <c r="A103" s="36"/>
      <c r="B103" s="36"/>
      <c r="J103" s="4">
        <f t="shared" si="10"/>
        <v>0.02241894676453219</v>
      </c>
      <c r="K103" s="4">
        <f t="shared" si="11"/>
        <v>0.1104604389178134</v>
      </c>
      <c r="L103" s="4">
        <f t="shared" si="12"/>
        <v>0.6281372378494067</v>
      </c>
      <c r="M103" s="4">
        <f t="shared" si="14"/>
        <v>47.70000000000011</v>
      </c>
      <c r="N103" s="4">
        <f t="shared" si="13"/>
        <v>10.964360587002048</v>
      </c>
    </row>
    <row r="104" spans="1:14" ht="12.75">
      <c r="A104" s="58"/>
      <c r="C104" s="28"/>
      <c r="J104" s="4">
        <f t="shared" si="10"/>
        <v>0.02327238810596877</v>
      </c>
      <c r="K104" s="4">
        <f t="shared" si="11"/>
        <v>0.11246704114726541</v>
      </c>
      <c r="L104" s="4">
        <f t="shared" si="12"/>
        <v>0.6334657843560454</v>
      </c>
      <c r="M104" s="4">
        <f t="shared" si="14"/>
        <v>47.80000000000011</v>
      </c>
      <c r="N104" s="4">
        <f t="shared" si="13"/>
        <v>10.92050209205016</v>
      </c>
    </row>
    <row r="105" spans="1:14" ht="12.75">
      <c r="A105" s="36"/>
      <c r="B105" s="36"/>
      <c r="C105" s="27"/>
      <c r="J105" s="4">
        <f t="shared" si="10"/>
        <v>0.024140898492169872</v>
      </c>
      <c r="K105" s="4">
        <f t="shared" si="11"/>
        <v>0.1144895652664366</v>
      </c>
      <c r="L105" s="4">
        <f t="shared" si="12"/>
        <v>0.6388099488210468</v>
      </c>
      <c r="M105" s="4">
        <f t="shared" si="14"/>
        <v>47.90000000000011</v>
      </c>
      <c r="N105" s="4">
        <f t="shared" si="13"/>
        <v>10.876826722338155</v>
      </c>
    </row>
    <row r="106" spans="1:14" ht="12.75">
      <c r="A106" s="53"/>
      <c r="B106" s="36"/>
      <c r="C106" s="27"/>
      <c r="J106" s="4">
        <f t="shared" si="10"/>
        <v>0.025024437927664768</v>
      </c>
      <c r="K106" s="4">
        <f t="shared" si="11"/>
        <v>0.11652797041146792</v>
      </c>
      <c r="L106" s="4">
        <f t="shared" si="12"/>
        <v>0.644169682348217</v>
      </c>
      <c r="M106" s="4">
        <f t="shared" si="14"/>
        <v>48.000000000000114</v>
      </c>
      <c r="N106" s="4">
        <f t="shared" si="13"/>
        <v>10.833333333333282</v>
      </c>
    </row>
    <row r="107" spans="1:14" ht="12.75">
      <c r="A107" s="36"/>
      <c r="B107" s="36"/>
      <c r="C107" s="27"/>
      <c r="J107" s="4">
        <f t="shared" si="10"/>
        <v>0.025922966959899055</v>
      </c>
      <c r="K107" s="4">
        <f t="shared" si="11"/>
        <v>0.11858221624720516</v>
      </c>
      <c r="L107" s="4">
        <f t="shared" si="12"/>
        <v>0.6495449365315852</v>
      </c>
      <c r="M107" s="4">
        <f t="shared" si="14"/>
        <v>48.100000000000115</v>
      </c>
      <c r="N107" s="4">
        <f t="shared" si="13"/>
        <v>10.79002079002074</v>
      </c>
    </row>
    <row r="108" spans="1:14" ht="12.75">
      <c r="A108" s="171"/>
      <c r="B108" s="171"/>
      <c r="C108" s="28"/>
      <c r="J108" s="4">
        <f t="shared" si="10"/>
        <v>0.026836446674624</v>
      </c>
      <c r="K108" s="4">
        <f t="shared" si="11"/>
        <v>0.12065226296247514</v>
      </c>
      <c r="L108" s="4">
        <f t="shared" si="12"/>
        <v>0.6549356634504978</v>
      </c>
      <c r="M108" s="4">
        <f t="shared" si="14"/>
        <v>48.20000000000012</v>
      </c>
      <c r="N108" s="4">
        <f t="shared" si="13"/>
        <v>10.74688796680493</v>
      </c>
    </row>
    <row r="109" spans="1:14" ht="12.75">
      <c r="A109" s="36"/>
      <c r="B109" s="36"/>
      <c r="C109" s="6"/>
      <c r="J109" s="4">
        <f t="shared" si="10"/>
        <v>0.02776483869134927</v>
      </c>
      <c r="K109" s="4">
        <f t="shared" si="11"/>
        <v>0.1227380712654247</v>
      </c>
      <c r="L109" s="4">
        <f t="shared" si="12"/>
        <v>0.6603418156647736</v>
      </c>
      <c r="M109" s="4">
        <f t="shared" si="14"/>
        <v>48.30000000000012</v>
      </c>
      <c r="N109" s="4">
        <f t="shared" si="13"/>
        <v>10.70393374741196</v>
      </c>
    </row>
    <row r="110" spans="1:14" ht="12.75">
      <c r="A110" s="36"/>
      <c r="B110" s="36"/>
      <c r="J110" s="4">
        <f t="shared" si="10"/>
        <v>0.028708105158858035</v>
      </c>
      <c r="K110" s="4">
        <f t="shared" si="11"/>
        <v>0.12483960237892128</v>
      </c>
      <c r="L110" s="4">
        <f t="shared" si="12"/>
        <v>0.6657633462099205</v>
      </c>
      <c r="M110" s="4">
        <f t="shared" si="14"/>
        <v>48.40000000000012</v>
      </c>
      <c r="N110" s="4">
        <f t="shared" si="13"/>
        <v>10.661157024793336</v>
      </c>
    </row>
    <row r="111" spans="10:14" ht="12.75">
      <c r="J111" s="4">
        <f t="shared" si="10"/>
        <v>0.02966620875078323</v>
      </c>
      <c r="K111" s="4">
        <f t="shared" si="11"/>
        <v>0.12695681803601305</v>
      </c>
      <c r="L111" s="4">
        <f t="shared" si="12"/>
        <v>0.671200208592409</v>
      </c>
      <c r="M111" s="4">
        <f t="shared" si="14"/>
        <v>48.50000000000012</v>
      </c>
      <c r="N111" s="4">
        <f t="shared" si="13"/>
        <v>10.618556701030876</v>
      </c>
    </row>
    <row r="112" spans="1:14" ht="12.75">
      <c r="A112" s="36"/>
      <c r="B112" s="36"/>
      <c r="J112" s="4">
        <f t="shared" si="10"/>
        <v>0.03063911266124514</v>
      </c>
      <c r="K112" s="4">
        <f t="shared" si="11"/>
        <v>0.1290896804754507</v>
      </c>
      <c r="L112" s="4">
        <f t="shared" si="12"/>
        <v>0.6766523567850102</v>
      </c>
      <c r="M112" s="4">
        <f t="shared" si="14"/>
        <v>48.60000000000012</v>
      </c>
      <c r="N112" s="4">
        <f t="shared" si="13"/>
        <v>10.576131687242746</v>
      </c>
    </row>
    <row r="113" spans="1:14" ht="12.75">
      <c r="A113" s="172"/>
      <c r="B113" s="173"/>
      <c r="J113" s="4">
        <f t="shared" si="10"/>
        <v>0.03162678060054818</v>
      </c>
      <c r="K113" s="4">
        <f t="shared" si="11"/>
        <v>0.1312381524372663</v>
      </c>
      <c r="L113" s="4">
        <f t="shared" si="12"/>
        <v>0.6821197452221851</v>
      </c>
      <c r="M113" s="4">
        <f t="shared" si="14"/>
        <v>48.700000000000124</v>
      </c>
      <c r="N113" s="4">
        <f t="shared" si="13"/>
        <v>10.533880903490708</v>
      </c>
    </row>
    <row r="114" spans="1:14" ht="12.75">
      <c r="A114" s="59"/>
      <c r="B114" s="174"/>
      <c r="J114" s="4">
        <f t="shared" si="10"/>
        <v>0.03262917679093705</v>
      </c>
      <c r="K114" s="4">
        <f t="shared" si="11"/>
        <v>0.13340219715841167</v>
      </c>
      <c r="L114" s="4">
        <f t="shared" si="12"/>
        <v>0.687602328795536</v>
      </c>
      <c r="M114" s="4">
        <f t="shared" si="14"/>
        <v>48.800000000000125</v>
      </c>
      <c r="N114" s="4">
        <f t="shared" si="13"/>
        <v>10.491803278688472</v>
      </c>
    </row>
    <row r="115" spans="1:14" ht="12.75">
      <c r="A115" s="9"/>
      <c r="J115" s="4">
        <f t="shared" si="10"/>
        <v>0.03364626596241076</v>
      </c>
      <c r="K115" s="4">
        <f t="shared" si="11"/>
        <v>0.13558177836845262</v>
      </c>
      <c r="L115" s="4">
        <f t="shared" si="12"/>
        <v>0.6931000628493111</v>
      </c>
      <c r="M115" s="4">
        <f t="shared" si="14"/>
        <v>48.90000000000013</v>
      </c>
      <c r="N115" s="4">
        <f t="shared" si="13"/>
        <v>10.449897750511195</v>
      </c>
    </row>
    <row r="116" spans="4:14" ht="12.75" customHeight="1">
      <c r="D116" s="34"/>
      <c r="E116" s="36"/>
      <c r="F116" s="34"/>
      <c r="J116" s="4">
        <f t="shared" si="10"/>
        <v>0.03467801334859452</v>
      </c>
      <c r="K116" s="4">
        <f t="shared" si="11"/>
        <v>0.13777686028532118</v>
      </c>
      <c r="L116" s="4">
        <f t="shared" si="12"/>
        <v>0.6986129031759667</v>
      </c>
      <c r="M116" s="4">
        <f t="shared" si="14"/>
        <v>49.00000000000013</v>
      </c>
      <c r="N116" s="4">
        <f t="shared" si="13"/>
        <v>10.408163265306069</v>
      </c>
    </row>
    <row r="117" spans="4:14" ht="12.75" customHeight="1">
      <c r="D117" s="4"/>
      <c r="F117" s="4"/>
      <c r="J117" s="4">
        <f t="shared" si="10"/>
        <v>0.03572438468266796</v>
      </c>
      <c r="K117" s="4">
        <f t="shared" si="11"/>
        <v>0.13998740761112255</v>
      </c>
      <c r="L117" s="4">
        <f t="shared" si="12"/>
        <v>0.7041408060117834</v>
      </c>
      <c r="M117" s="4">
        <f t="shared" si="14"/>
        <v>49.10000000000013</v>
      </c>
      <c r="N117" s="4">
        <f t="shared" si="13"/>
        <v>10.366598778004018</v>
      </c>
    </row>
    <row r="118" spans="1:14" ht="12.75" customHeight="1">
      <c r="A118" s="49"/>
      <c r="B118" s="5"/>
      <c r="D118" s="4"/>
      <c r="F118" s="4"/>
      <c r="J118" s="4">
        <f t="shared" si="10"/>
        <v>0.036785346193349104</v>
      </c>
      <c r="K118" s="4">
        <f t="shared" si="11"/>
        <v>0.1422133855279971</v>
      </c>
      <c r="L118" s="4">
        <f t="shared" si="12"/>
        <v>0.7096837280325345</v>
      </c>
      <c r="M118" s="4">
        <f t="shared" si="14"/>
        <v>49.20000000000013</v>
      </c>
      <c r="N118" s="4">
        <f t="shared" si="13"/>
        <v>10.325203252032466</v>
      </c>
    </row>
    <row r="119" spans="8:14" ht="12.75" customHeight="1">
      <c r="H119" s="60"/>
      <c r="J119" s="4">
        <f aca="true" t="shared" si="15" ref="J119:J182">IF(D$2&gt;0.2*($N119),(D$2-0.2*($N119))^2/(D$2+0.8*($N119)),0)</f>
        <v>0.03786086460093398</v>
      </c>
      <c r="K119" s="4">
        <f aca="true" t="shared" si="16" ref="K119:K182">IF(E$2&gt;0.2*($N119),(E$2-0.2*($N119))^2/(E$2+0.8*($N119)),0)</f>
        <v>0.14445475969403698</v>
      </c>
      <c r="L119" s="4">
        <f aca="true" t="shared" si="17" ref="L119:L182">IF(F$2&gt;0.2*($N119),(F$2-0.2*($N119))^2/(F$2+0.8*($N119)),0)</f>
        <v>0.7152416263492116</v>
      </c>
      <c r="M119" s="4">
        <f>M118+0.1</f>
        <v>49.30000000000013</v>
      </c>
      <c r="N119" s="4">
        <f aca="true" t="shared" si="18" ref="N119:N182">IF(M119&gt;0,1000/M119-10,1000)</f>
        <v>10.283975659229153</v>
      </c>
    </row>
    <row r="120" spans="8:14" ht="12.75" customHeight="1">
      <c r="H120" s="168"/>
      <c r="J120" s="4">
        <f t="shared" si="15"/>
        <v>0.03895090711338991</v>
      </c>
      <c r="K120" s="4">
        <f t="shared" si="16"/>
        <v>0.1467114962392556</v>
      </c>
      <c r="L120" s="4">
        <f t="shared" si="17"/>
        <v>0.7208144585037973</v>
      </c>
      <c r="M120" s="4">
        <f aca="true" t="shared" si="19" ref="M120:M183">M119+0.1</f>
        <v>49.400000000000134</v>
      </c>
      <c r="N120" s="4">
        <f t="shared" si="18"/>
        <v>10.242914979757032</v>
      </c>
    </row>
    <row r="121" spans="8:14" ht="12.75" customHeight="1">
      <c r="H121" s="168"/>
      <c r="J121" s="4">
        <f t="shared" si="15"/>
        <v>0.04005544142250327</v>
      </c>
      <c r="K121" s="4">
        <f t="shared" si="16"/>
        <v>0.1489835617616107</v>
      </c>
      <c r="L121" s="4">
        <f t="shared" si="17"/>
        <v>0.7264021824650956</v>
      </c>
      <c r="M121" s="4">
        <f t="shared" si="19"/>
        <v>49.500000000000135</v>
      </c>
      <c r="N121" s="4">
        <f t="shared" si="18"/>
        <v>10.202020202020147</v>
      </c>
    </row>
    <row r="122" spans="8:14" ht="12.75" customHeight="1">
      <c r="H122" s="168"/>
      <c r="J122" s="4">
        <f t="shared" si="15"/>
        <v>0.041174435700079344</v>
      </c>
      <c r="K122" s="4">
        <f t="shared" si="16"/>
        <v>0.15127092332307773</v>
      </c>
      <c r="L122" s="4">
        <f t="shared" si="17"/>
        <v>0.7320047566246064</v>
      </c>
      <c r="M122" s="4">
        <f t="shared" si="19"/>
        <v>49.600000000000136</v>
      </c>
      <c r="N122" s="4">
        <f t="shared" si="18"/>
        <v>10.16129032258059</v>
      </c>
    </row>
    <row r="123" spans="8:14" ht="12.75" customHeight="1">
      <c r="H123" s="168"/>
      <c r="J123" s="4">
        <f t="shared" si="15"/>
        <v>0.042307858594195176</v>
      </c>
      <c r="K123" s="4">
        <f t="shared" si="16"/>
        <v>0.1535735484457767</v>
      </c>
      <c r="L123" s="4">
        <f t="shared" si="17"/>
        <v>0.7376221397924576</v>
      </c>
      <c r="M123" s="4">
        <f t="shared" si="19"/>
        <v>49.70000000000014</v>
      </c>
      <c r="N123" s="4">
        <f t="shared" si="18"/>
        <v>10.120724346076404</v>
      </c>
    </row>
    <row r="124" spans="8:14" ht="12.75" customHeight="1">
      <c r="H124" s="168"/>
      <c r="J124" s="4">
        <f t="shared" si="15"/>
        <v>0.04345567922550337</v>
      </c>
      <c r="K124" s="4">
        <f t="shared" si="16"/>
        <v>0.15589140510814753</v>
      </c>
      <c r="L124" s="4">
        <f t="shared" si="17"/>
        <v>0.74325429119338</v>
      </c>
      <c r="M124" s="4">
        <f t="shared" si="19"/>
        <v>49.80000000000014</v>
      </c>
      <c r="N124" s="4">
        <f t="shared" si="18"/>
        <v>10.080321285140506</v>
      </c>
    </row>
    <row r="125" spans="8:14" ht="12.75" customHeight="1">
      <c r="H125" s="168"/>
      <c r="J125" s="4">
        <f t="shared" si="15"/>
        <v>0.044617867183587345</v>
      </c>
      <c r="K125" s="4">
        <f t="shared" si="16"/>
        <v>0.15822446174117683</v>
      </c>
      <c r="L125" s="4">
        <f t="shared" si="17"/>
        <v>0.7489011704627361</v>
      </c>
      <c r="M125" s="4">
        <f t="shared" si="19"/>
        <v>49.90000000000014</v>
      </c>
      <c r="N125" s="4">
        <f t="shared" si="18"/>
        <v>10.040080160320585</v>
      </c>
    </row>
    <row r="126" spans="8:14" ht="12.75" customHeight="1">
      <c r="H126" s="168"/>
      <c r="J126" s="4">
        <f t="shared" si="15"/>
        <v>0.04579439252336618</v>
      </c>
      <c r="K126" s="4">
        <f t="shared" si="16"/>
        <v>0.16057268722467297</v>
      </c>
      <c r="L126" s="4">
        <f t="shared" si="17"/>
        <v>0.7545627376425939</v>
      </c>
      <c r="M126" s="4">
        <f t="shared" si="19"/>
        <v>50.00000000000014</v>
      </c>
      <c r="N126" s="4">
        <f t="shared" si="18"/>
        <v>9.999999999999943</v>
      </c>
    </row>
    <row r="127" spans="8:14" ht="12.75" customHeight="1">
      <c r="H127" s="168"/>
      <c r="J127" s="175">
        <f t="shared" si="15"/>
        <v>0.04698522576154959</v>
      </c>
      <c r="K127" s="175">
        <f t="shared" si="16"/>
        <v>0.16293605088359</v>
      </c>
      <c r="L127" s="175">
        <f t="shared" si="17"/>
        <v>0.760238953177849</v>
      </c>
      <c r="M127" s="175">
        <f t="shared" si="19"/>
        <v>50.10000000000014</v>
      </c>
      <c r="N127" s="175">
        <f t="shared" si="18"/>
        <v>9.960079840319302</v>
      </c>
    </row>
    <row r="128" spans="8:14" ht="12.75" customHeight="1">
      <c r="H128" s="168"/>
      <c r="J128" s="4">
        <f t="shared" si="15"/>
        <v>0.04819033787314118</v>
      </c>
      <c r="K128" s="4">
        <f t="shared" si="16"/>
        <v>0.1653145224843991</v>
      </c>
      <c r="L128" s="4">
        <f t="shared" si="17"/>
        <v>0.7659297779123948</v>
      </c>
      <c r="M128" s="4">
        <f t="shared" si="19"/>
        <v>50.200000000000145</v>
      </c>
      <c r="N128" s="4">
        <f t="shared" si="18"/>
        <v>9.920318725099545</v>
      </c>
    </row>
    <row r="129" spans="10:14" ht="12.75" customHeight="1">
      <c r="J129" s="4">
        <f t="shared" si="15"/>
        <v>0.049409700287990965</v>
      </c>
      <c r="K129" s="4">
        <f t="shared" si="16"/>
        <v>0.16770807223150877</v>
      </c>
      <c r="L129" s="4">
        <f t="shared" si="17"/>
        <v>0.7716351730853381</v>
      </c>
      <c r="M129" s="4">
        <f t="shared" si="19"/>
        <v>50.300000000000146</v>
      </c>
      <c r="N129" s="4">
        <f t="shared" si="18"/>
        <v>9.88071570576535</v>
      </c>
    </row>
    <row r="130" spans="10:14" ht="12.75" customHeight="1">
      <c r="J130" s="4">
        <f t="shared" si="15"/>
        <v>0.05064328488739427</v>
      </c>
      <c r="K130" s="4">
        <f t="shared" si="16"/>
        <v>0.1701166707637291</v>
      </c>
      <c r="L130" s="4">
        <f t="shared" si="17"/>
        <v>0.7773551003272586</v>
      </c>
      <c r="M130" s="4">
        <f t="shared" si="19"/>
        <v>50.40000000000015</v>
      </c>
      <c r="N130" s="4">
        <f t="shared" si="18"/>
        <v>9.841269841269781</v>
      </c>
    </row>
    <row r="131" spans="10:14" ht="12.75" customHeight="1">
      <c r="J131" s="4">
        <f t="shared" si="15"/>
        <v>0.05189106400073835</v>
      </c>
      <c r="K131" s="4">
        <f t="shared" si="16"/>
        <v>0.17254028915078354</v>
      </c>
      <c r="L131" s="4">
        <f t="shared" si="17"/>
        <v>0.7830895216565144</v>
      </c>
      <c r="M131" s="4">
        <f t="shared" si="19"/>
        <v>50.50000000000015</v>
      </c>
      <c r="N131" s="4">
        <f t="shared" si="18"/>
        <v>9.801980198019745</v>
      </c>
    </row>
    <row r="132" spans="10:14" ht="12.75" customHeight="1">
      <c r="J132" s="4">
        <f t="shared" si="15"/>
        <v>0.05315301040219595</v>
      </c>
      <c r="K132" s="4">
        <f t="shared" si="16"/>
        <v>0.17497889888986715</v>
      </c>
      <c r="L132" s="4">
        <f t="shared" si="17"/>
        <v>0.788838399475595</v>
      </c>
      <c r="M132" s="4">
        <f t="shared" si="19"/>
        <v>50.60000000000015</v>
      </c>
      <c r="N132" s="4">
        <f t="shared" si="18"/>
        <v>9.762845849802314</v>
      </c>
    </row>
    <row r="133" spans="10:14" ht="12.75" customHeight="1">
      <c r="J133" s="4">
        <f t="shared" si="15"/>
        <v>0.054429097307463564</v>
      </c>
      <c r="K133" s="4">
        <f t="shared" si="16"/>
        <v>0.17743247190224706</v>
      </c>
      <c r="L133" s="4">
        <f t="shared" si="17"/>
        <v>0.7946016965675122</v>
      </c>
      <c r="M133" s="4">
        <f t="shared" si="19"/>
        <v>50.70000000000015</v>
      </c>
      <c r="N133" s="4">
        <f t="shared" si="18"/>
        <v>9.723865877711972</v>
      </c>
    </row>
    <row r="134" spans="10:14" ht="12.75" customHeight="1">
      <c r="J134" s="4">
        <f t="shared" si="15"/>
        <v>0.055719298370545386</v>
      </c>
      <c r="K134" s="4">
        <f t="shared" si="16"/>
        <v>0.1799009805299084</v>
      </c>
      <c r="L134" s="4">
        <f t="shared" si="17"/>
        <v>0.800379376092237</v>
      </c>
      <c r="M134" s="4">
        <f t="shared" si="19"/>
        <v>50.80000000000015</v>
      </c>
      <c r="N134" s="4">
        <f t="shared" si="18"/>
        <v>9.68503937007868</v>
      </c>
    </row>
    <row r="135" spans="10:14" ht="12.75" customHeight="1">
      <c r="J135" s="4">
        <f t="shared" si="15"/>
        <v>0.05702358768058261</v>
      </c>
      <c r="K135" s="4">
        <f t="shared" si="16"/>
        <v>0.1823843975322446</v>
      </c>
      <c r="L135" s="4">
        <f t="shared" si="17"/>
        <v>0.80617140158318</v>
      </c>
      <c r="M135" s="4">
        <f t="shared" si="19"/>
        <v>50.900000000000155</v>
      </c>
      <c r="N135" s="4">
        <f t="shared" si="18"/>
        <v>9.646365422396798</v>
      </c>
    </row>
    <row r="136" spans="10:14" ht="12.75" customHeight="1">
      <c r="J136" s="4">
        <f t="shared" si="15"/>
        <v>0.058341939758725994</v>
      </c>
      <c r="K136" s="4">
        <f t="shared" si="16"/>
        <v>0.1848826960827898</v>
      </c>
      <c r="L136" s="4">
        <f t="shared" si="17"/>
        <v>0.8119777369437134</v>
      </c>
      <c r="M136" s="4">
        <f t="shared" si="19"/>
        <v>51.000000000000156</v>
      </c>
      <c r="N136" s="4">
        <f t="shared" si="18"/>
        <v>9.607843137254843</v>
      </c>
    </row>
    <row r="137" spans="10:14" ht="12.75" customHeight="1">
      <c r="J137" s="4">
        <f t="shared" si="15"/>
        <v>0.05967432955505206</v>
      </c>
      <c r="K137" s="4">
        <f t="shared" si="16"/>
        <v>0.18739584976599302</v>
      </c>
      <c r="L137" s="4">
        <f t="shared" si="17"/>
        <v>0.8177983464437306</v>
      </c>
      <c r="M137" s="4">
        <f t="shared" si="19"/>
        <v>51.10000000000016</v>
      </c>
      <c r="N137" s="4">
        <f t="shared" si="18"/>
        <v>9.569471624266086</v>
      </c>
    </row>
    <row r="138" spans="10:14" ht="12.75" customHeight="1">
      <c r="J138" s="4">
        <f t="shared" si="15"/>
        <v>0.061020732445522724</v>
      </c>
      <c r="K138" s="4">
        <f t="shared" si="16"/>
        <v>0.1899238325740359</v>
      </c>
      <c r="L138" s="4">
        <f t="shared" si="17"/>
        <v>0.8236331947162521</v>
      </c>
      <c r="M138" s="4">
        <f t="shared" si="19"/>
        <v>51.20000000000016</v>
      </c>
      <c r="N138" s="4">
        <f t="shared" si="18"/>
        <v>9.53124999999994</v>
      </c>
    </row>
    <row r="139" spans="10:14" ht="12.75" customHeight="1">
      <c r="J139" s="4">
        <f t="shared" si="15"/>
        <v>0.062381124228987055</v>
      </c>
      <c r="K139" s="4">
        <f t="shared" si="16"/>
        <v>0.19246661890369038</v>
      </c>
      <c r="L139" s="4">
        <f t="shared" si="17"/>
        <v>0.8294822467540671</v>
      </c>
      <c r="M139" s="4">
        <f t="shared" si="19"/>
        <v>51.30000000000016</v>
      </c>
      <c r="N139" s="4">
        <f t="shared" si="18"/>
        <v>9.49317738791417</v>
      </c>
    </row>
    <row r="140" spans="10:14" ht="12.75" customHeight="1">
      <c r="J140" s="4">
        <f t="shared" si="15"/>
        <v>0.06375548112422515</v>
      </c>
      <c r="K140" s="4">
        <f t="shared" si="16"/>
        <v>0.19502418355321816</v>
      </c>
      <c r="L140" s="4">
        <f t="shared" si="17"/>
        <v>0.835345467906419</v>
      </c>
      <c r="M140" s="4">
        <f t="shared" si="19"/>
        <v>51.40000000000016</v>
      </c>
      <c r="N140" s="4">
        <f t="shared" si="18"/>
        <v>9.455252918287876</v>
      </c>
    </row>
    <row r="141" spans="10:14" ht="12.75" customHeight="1">
      <c r="J141" s="4">
        <f t="shared" si="15"/>
        <v>0.06514377976703314</v>
      </c>
      <c r="K141" s="4">
        <f t="shared" si="16"/>
        <v>0.19759650171930954</v>
      </c>
      <c r="L141" s="4">
        <f t="shared" si="17"/>
        <v>0.8412228238757243</v>
      </c>
      <c r="M141" s="4">
        <f t="shared" si="19"/>
        <v>51.50000000000016</v>
      </c>
      <c r="N141" s="4">
        <f t="shared" si="18"/>
        <v>9.417475728155278</v>
      </c>
    </row>
    <row r="142" spans="10:14" ht="12.75" customHeight="1">
      <c r="J142" s="4">
        <f t="shared" si="15"/>
        <v>0.06654599720734942</v>
      </c>
      <c r="K142" s="4">
        <f t="shared" si="16"/>
        <v>0.20018354899406277</v>
      </c>
      <c r="L142" s="4">
        <f t="shared" si="17"/>
        <v>0.8471142807143363</v>
      </c>
      <c r="M142" s="4">
        <f t="shared" si="19"/>
        <v>51.600000000000165</v>
      </c>
      <c r="N142" s="4">
        <f t="shared" si="18"/>
        <v>9.379844961240249</v>
      </c>
    </row>
    <row r="143" spans="10:14" ht="12.75" customHeight="1">
      <c r="J143" s="4">
        <f t="shared" si="15"/>
        <v>0.0679621109064214</v>
      </c>
      <c r="K143" s="4">
        <f t="shared" si="16"/>
        <v>0.20278530136200254</v>
      </c>
      <c r="L143" s="4">
        <f t="shared" si="17"/>
        <v>0.8530198048213435</v>
      </c>
      <c r="M143" s="4">
        <f t="shared" si="19"/>
        <v>51.700000000000166</v>
      </c>
      <c r="N143" s="4">
        <f t="shared" si="18"/>
        <v>9.342359767891619</v>
      </c>
    </row>
    <row r="144" spans="10:14" ht="12.75" customHeight="1">
      <c r="J144" s="4">
        <f t="shared" si="15"/>
        <v>0.06939209873401106</v>
      </c>
      <c r="K144" s="4">
        <f t="shared" si="16"/>
        <v>0.20540173519713595</v>
      </c>
      <c r="L144" s="4">
        <f t="shared" si="17"/>
        <v>0.8589393629394034</v>
      </c>
      <c r="M144" s="4">
        <f t="shared" si="19"/>
        <v>51.80000000000017</v>
      </c>
      <c r="N144" s="4">
        <f t="shared" si="18"/>
        <v>9.305019305019243</v>
      </c>
    </row>
    <row r="145" spans="10:14" ht="12.75" customHeight="1">
      <c r="J145" s="4">
        <f t="shared" si="15"/>
        <v>0.07083593896564194</v>
      </c>
      <c r="K145" s="4">
        <f t="shared" si="16"/>
        <v>0.20803282726004962</v>
      </c>
      <c r="L145" s="4">
        <f t="shared" si="17"/>
        <v>0.8648729221516209</v>
      </c>
      <c r="M145" s="4">
        <f t="shared" si="19"/>
        <v>51.90000000000017</v>
      </c>
      <c r="N145" s="4">
        <f t="shared" si="18"/>
        <v>9.267822736030766</v>
      </c>
    </row>
    <row r="146" spans="10:14" ht="12.75" customHeight="1">
      <c r="J146" s="4">
        <f t="shared" si="15"/>
        <v>0.07229361027988286</v>
      </c>
      <c r="K146" s="4">
        <f t="shared" si="16"/>
        <v>0.21067855469504088</v>
      </c>
      <c r="L146" s="4">
        <f t="shared" si="17"/>
        <v>0.8708204498784536</v>
      </c>
      <c r="M146" s="4">
        <f t="shared" si="19"/>
        <v>52.00000000000017</v>
      </c>
      <c r="N146" s="4">
        <f t="shared" si="18"/>
        <v>9.230769230769166</v>
      </c>
    </row>
    <row r="147" spans="8:14" ht="12.75" customHeight="1" hidden="1">
      <c r="H147" s="176"/>
      <c r="J147" s="4">
        <f t="shared" si="15"/>
        <v>0.0737650917556714</v>
      </c>
      <c r="K147" s="4">
        <f t="shared" si="16"/>
        <v>0.2133388950272886</v>
      </c>
      <c r="L147" s="4">
        <f t="shared" si="17"/>
        <v>0.8767819138746599</v>
      </c>
      <c r="M147" s="4">
        <f t="shared" si="19"/>
        <v>52.10000000000017</v>
      </c>
      <c r="N147" s="4">
        <f t="shared" si="18"/>
        <v>9.193857965450992</v>
      </c>
    </row>
    <row r="148" spans="8:14" ht="12.75" customHeight="1" hidden="1">
      <c r="H148" s="168"/>
      <c r="J148" s="4">
        <f t="shared" si="15"/>
        <v>0.07525036286967533</v>
      </c>
      <c r="K148" s="4">
        <f t="shared" si="16"/>
        <v>0.2160138261600608</v>
      </c>
      <c r="L148" s="4">
        <f t="shared" si="17"/>
        <v>0.8827572822262812</v>
      </c>
      <c r="M148" s="4">
        <f t="shared" si="19"/>
        <v>52.20000000000017</v>
      </c>
      <c r="N148" s="4">
        <f t="shared" si="18"/>
        <v>9.157088122605302</v>
      </c>
    </row>
    <row r="149" spans="8:14" ht="24.75" customHeight="1" hidden="1">
      <c r="H149" s="168"/>
      <c r="J149" s="4">
        <f t="shared" si="15"/>
        <v>0.07674940349369132</v>
      </c>
      <c r="K149" s="4">
        <f t="shared" si="16"/>
        <v>0.21870332637195786</v>
      </c>
      <c r="L149" s="4">
        <f t="shared" si="17"/>
        <v>0.8887465233476596</v>
      </c>
      <c r="M149" s="4">
        <f t="shared" si="19"/>
        <v>52.300000000000175</v>
      </c>
      <c r="N149" s="4">
        <f t="shared" si="18"/>
        <v>9.120458891013321</v>
      </c>
    </row>
    <row r="150" spans="8:14" ht="12.75" customHeight="1" hidden="1">
      <c r="H150" s="168"/>
      <c r="J150" s="4">
        <f t="shared" si="15"/>
        <v>0.07826219389208007</v>
      </c>
      <c r="K150" s="4">
        <f t="shared" si="16"/>
        <v>0.2214073743141906</v>
      </c>
      <c r="L150" s="4">
        <f t="shared" si="17"/>
        <v>0.894749605978485</v>
      </c>
      <c r="M150" s="4">
        <f t="shared" si="19"/>
        <v>52.400000000000176</v>
      </c>
      <c r="N150" s="4">
        <f t="shared" si="18"/>
        <v>9.083969465648792</v>
      </c>
    </row>
    <row r="151" spans="8:14" ht="12.75" customHeight="1">
      <c r="H151" s="4"/>
      <c r="J151" s="4">
        <f t="shared" si="15"/>
        <v>0.07978871471923972</v>
      </c>
      <c r="K151" s="4">
        <f t="shared" si="16"/>
        <v>0.2241259490078967</v>
      </c>
      <c r="L151" s="4">
        <f t="shared" si="17"/>
        <v>0.9007664991808861</v>
      </c>
      <c r="M151" s="4">
        <f t="shared" si="19"/>
        <v>52.50000000000018</v>
      </c>
      <c r="N151" s="4">
        <f t="shared" si="18"/>
        <v>9.047619047618984</v>
      </c>
    </row>
    <row r="152" spans="8:14" ht="12.75" customHeight="1">
      <c r="H152" s="4"/>
      <c r="J152" s="4">
        <f t="shared" si="15"/>
        <v>0.0813289470171137</v>
      </c>
      <c r="K152" s="4">
        <f t="shared" si="16"/>
        <v>0.22685902984148876</v>
      </c>
      <c r="L152" s="4">
        <f t="shared" si="17"/>
        <v>0.9067971723365467</v>
      </c>
      <c r="M152" s="4">
        <f t="shared" si="19"/>
        <v>52.60000000000018</v>
      </c>
      <c r="N152" s="4">
        <f t="shared" si="18"/>
        <v>9.0114068441064</v>
      </c>
    </row>
    <row r="153" spans="8:14" ht="12.75" customHeight="1">
      <c r="H153" s="4"/>
      <c r="J153" s="4">
        <f t="shared" si="15"/>
        <v>0.08288287221273564</v>
      </c>
      <c r="K153" s="4">
        <f t="shared" si="16"/>
        <v>0.22960659656803942</v>
      </c>
      <c r="L153" s="4">
        <f t="shared" si="17"/>
        <v>0.9128415951438588</v>
      </c>
      <c r="M153" s="4">
        <f t="shared" si="19"/>
        <v>52.70000000000018</v>
      </c>
      <c r="N153" s="4">
        <f t="shared" si="18"/>
        <v>8.975332068311129</v>
      </c>
    </row>
    <row r="154" spans="8:14" ht="12.75" customHeight="1">
      <c r="H154" s="4"/>
      <c r="J154" s="4">
        <f t="shared" si="15"/>
        <v>0.08445047211580878</v>
      </c>
      <c r="K154" s="4">
        <f t="shared" si="16"/>
        <v>0.23236862930269878</v>
      </c>
      <c r="L154" s="4">
        <f t="shared" si="17"/>
        <v>0.918899737615108</v>
      </c>
      <c r="M154" s="4">
        <f t="shared" si="19"/>
        <v>52.80000000000018</v>
      </c>
      <c r="N154" s="4">
        <f t="shared" si="18"/>
        <v>8.939393939393874</v>
      </c>
    </row>
    <row r="155" spans="8:14" ht="12.75" customHeight="1">
      <c r="H155" s="4"/>
      <c r="J155" s="4">
        <f t="shared" si="15"/>
        <v>0.08603172891632101</v>
      </c>
      <c r="K155" s="4">
        <f t="shared" si="16"/>
        <v>0.23514510852014686</v>
      </c>
      <c r="L155" s="4">
        <f t="shared" si="17"/>
        <v>0.9249715700736922</v>
      </c>
      <c r="M155" s="4">
        <f t="shared" si="19"/>
        <v>52.90000000000018</v>
      </c>
      <c r="N155" s="4">
        <f t="shared" si="18"/>
        <v>8.903591682419595</v>
      </c>
    </row>
    <row r="156" spans="8:14" ht="12.75" customHeight="1">
      <c r="H156" s="4"/>
      <c r="J156" s="4">
        <f t="shared" si="15"/>
        <v>0.08762662518219426</v>
      </c>
      <c r="K156" s="4">
        <f t="shared" si="16"/>
        <v>0.2379360150520791</v>
      </c>
      <c r="L156" s="4">
        <f t="shared" si="17"/>
        <v>0.9310570631513722</v>
      </c>
      <c r="M156" s="4">
        <f t="shared" si="19"/>
        <v>53.000000000000185</v>
      </c>
      <c r="N156" s="4">
        <f t="shared" si="18"/>
        <v>8.86792452830182</v>
      </c>
    </row>
    <row r="157" spans="8:14" ht="12.75" customHeight="1" hidden="1">
      <c r="H157" s="4"/>
      <c r="J157" s="4">
        <f t="shared" si="15"/>
        <v>0.08923514385696706</v>
      </c>
      <c r="K157" s="4">
        <f t="shared" si="16"/>
        <v>0.24074133008472245</v>
      </c>
      <c r="L157" s="4">
        <f t="shared" si="17"/>
        <v>0.9371561877855492</v>
      </c>
      <c r="M157" s="4">
        <f t="shared" si="19"/>
        <v>53.100000000000186</v>
      </c>
      <c r="N157" s="4">
        <f t="shared" si="18"/>
        <v>8.83239171374758</v>
      </c>
    </row>
    <row r="158" spans="8:14" ht="20.25" customHeight="1" hidden="1">
      <c r="H158" s="4"/>
      <c r="J158" s="4">
        <f t="shared" si="15"/>
        <v>0.0908572682575127</v>
      </c>
      <c r="K158" s="4">
        <f t="shared" si="16"/>
        <v>0.2435610351563881</v>
      </c>
      <c r="L158" s="4">
        <f t="shared" si="17"/>
        <v>0.9432689152165826</v>
      </c>
      <c r="M158" s="4">
        <f t="shared" si="19"/>
        <v>53.20000000000019</v>
      </c>
      <c r="N158" s="4">
        <f t="shared" si="18"/>
        <v>8.796992481202942</v>
      </c>
    </row>
    <row r="159" spans="8:14" ht="12.75" customHeight="1" hidden="1">
      <c r="H159" s="9"/>
      <c r="J159" s="4">
        <f t="shared" si="15"/>
        <v>0.09249298207178919</v>
      </c>
      <c r="K159" s="4">
        <f t="shared" si="16"/>
        <v>0.24639511215505244</v>
      </c>
      <c r="L159" s="4">
        <f t="shared" si="17"/>
        <v>0.9493952169851296</v>
      </c>
      <c r="M159" s="4">
        <f t="shared" si="19"/>
        <v>53.30000000000019</v>
      </c>
      <c r="N159" s="4">
        <f t="shared" si="18"/>
        <v>8.761726078799182</v>
      </c>
    </row>
    <row r="160" spans="8:14" ht="12.75" customHeight="1" hidden="1">
      <c r="H160" s="9"/>
      <c r="J160" s="4">
        <f t="shared" si="15"/>
        <v>0.09414226935662237</v>
      </c>
      <c r="K160" s="4">
        <f t="shared" si="16"/>
        <v>0.24924354331597087</v>
      </c>
      <c r="L160" s="4">
        <f t="shared" si="17"/>
        <v>0.9555350649295203</v>
      </c>
      <c r="M160" s="4">
        <f t="shared" si="19"/>
        <v>53.40000000000019</v>
      </c>
      <c r="N160" s="4">
        <f t="shared" si="18"/>
        <v>8.72659176029956</v>
      </c>
    </row>
    <row r="161" spans="8:14" ht="16.5" customHeight="1">
      <c r="H161" s="9"/>
      <c r="J161" s="4">
        <f t="shared" si="15"/>
        <v>0.09580511453552293</v>
      </c>
      <c r="K161" s="4">
        <f t="shared" si="16"/>
        <v>0.2521063112193246</v>
      </c>
      <c r="L161" s="4">
        <f t="shared" si="17"/>
        <v>0.9616884311831619</v>
      </c>
      <c r="M161" s="4">
        <f t="shared" si="19"/>
        <v>53.50000000000019</v>
      </c>
      <c r="N161" s="4">
        <f t="shared" si="18"/>
        <v>8.691588785046662</v>
      </c>
    </row>
    <row r="162" spans="8:14" ht="17.25" customHeight="1">
      <c r="H162" s="9"/>
      <c r="J162" s="4">
        <f t="shared" si="15"/>
        <v>0.09748150239653353</v>
      </c>
      <c r="K162" s="4">
        <f t="shared" si="16"/>
        <v>0.25498339878789483</v>
      </c>
      <c r="L162" s="4">
        <f t="shared" si="17"/>
        <v>0.9678552881719696</v>
      </c>
      <c r="M162" s="4">
        <f t="shared" si="19"/>
        <v>53.60000000000019</v>
      </c>
      <c r="N162" s="4">
        <f t="shared" si="18"/>
        <v>8.656716417910381</v>
      </c>
    </row>
    <row r="163" spans="8:14" ht="12.75" customHeight="1">
      <c r="H163" s="9"/>
      <c r="J163" s="4">
        <f t="shared" si="15"/>
        <v>0.09917141809010972</v>
      </c>
      <c r="K163" s="4">
        <f t="shared" si="16"/>
        <v>0.2578747892847709</v>
      </c>
      <c r="L163" s="4">
        <f t="shared" si="17"/>
        <v>0.9740356086118319</v>
      </c>
      <c r="M163" s="4">
        <f t="shared" si="19"/>
        <v>53.700000000000195</v>
      </c>
      <c r="N163" s="4">
        <f t="shared" si="18"/>
        <v>8.621973929236432</v>
      </c>
    </row>
    <row r="164" spans="8:14" ht="12.75">
      <c r="H164" s="9"/>
      <c r="J164" s="4">
        <f t="shared" si="15"/>
        <v>0.1008748471270313</v>
      </c>
      <c r="K164" s="4">
        <f t="shared" si="16"/>
        <v>0.26078046631108664</v>
      </c>
      <c r="L164" s="4">
        <f t="shared" si="17"/>
        <v>0.9802293655061001</v>
      </c>
      <c r="M164" s="4">
        <f t="shared" si="19"/>
        <v>53.800000000000196</v>
      </c>
      <c r="N164" s="4">
        <f t="shared" si="18"/>
        <v>8.58736059479547</v>
      </c>
    </row>
    <row r="165" spans="8:14" ht="12.75">
      <c r="H165" s="9"/>
      <c r="J165" s="4">
        <f t="shared" si="15"/>
        <v>0.10259177537634462</v>
      </c>
      <c r="K165" s="4">
        <f t="shared" si="16"/>
        <v>0.2637004138037857</v>
      </c>
      <c r="L165" s="4">
        <f t="shared" si="17"/>
        <v>0.9864365321431061</v>
      </c>
      <c r="M165" s="4">
        <f t="shared" si="19"/>
        <v>53.9000000000002</v>
      </c>
      <c r="N165" s="4">
        <f t="shared" si="18"/>
        <v>8.55287569573277</v>
      </c>
    </row>
    <row r="166" spans="8:14" ht="12.75">
      <c r="H166" s="9"/>
      <c r="J166" s="4">
        <f t="shared" si="15"/>
        <v>0.10432218906333687</v>
      </c>
      <c r="K166" s="4">
        <f t="shared" si="16"/>
        <v>0.26663461603341937</v>
      </c>
      <c r="L166" s="4">
        <f t="shared" si="17"/>
        <v>0.9926570820937142</v>
      </c>
      <c r="M166" s="4">
        <f t="shared" si="19"/>
        <v>54.0000000000002</v>
      </c>
      <c r="N166" s="4">
        <f t="shared" si="18"/>
        <v>8.518518518518452</v>
      </c>
    </row>
    <row r="167" spans="8:14" ht="12.75" customHeight="1">
      <c r="H167" s="9"/>
      <c r="J167" s="4">
        <f t="shared" si="15"/>
        <v>0.10606607476754003</v>
      </c>
      <c r="K167" s="4">
        <f t="shared" si="16"/>
        <v>0.26958305760197054</v>
      </c>
      <c r="L167" s="4">
        <f t="shared" si="17"/>
        <v>0.9988909892088935</v>
      </c>
      <c r="M167" s="4">
        <f t="shared" si="19"/>
        <v>54.1000000000002</v>
      </c>
      <c r="N167" s="4">
        <f t="shared" si="18"/>
        <v>8.484288354898268</v>
      </c>
    </row>
    <row r="168" spans="8:14" ht="12.75" customHeight="1">
      <c r="H168" s="9"/>
      <c r="J168" s="4">
        <f t="shared" si="15"/>
        <v>0.10782341942076398</v>
      </c>
      <c r="K168" s="4">
        <f t="shared" si="16"/>
        <v>0.2725457234407065</v>
      </c>
      <c r="L168" s="4">
        <f t="shared" si="17"/>
        <v>1.0051382276173204</v>
      </c>
      <c r="M168" s="4">
        <f t="shared" si="19"/>
        <v>54.2000000000002</v>
      </c>
      <c r="N168" s="4">
        <f t="shared" si="18"/>
        <v>8.450184501844952</v>
      </c>
    </row>
    <row r="169" spans="1:14" s="175" customFormat="1" ht="17.25" customHeight="1">
      <c r="A169" s="4"/>
      <c r="B169" s="4"/>
      <c r="C169" s="4"/>
      <c r="D169" s="5"/>
      <c r="E169" s="4"/>
      <c r="F169" s="5"/>
      <c r="G169" s="4"/>
      <c r="H169" s="9"/>
      <c r="J169" s="4">
        <f t="shared" si="15"/>
        <v>0.109594210305162</v>
      </c>
      <c r="K169" s="4">
        <f t="shared" si="16"/>
        <v>0.27552259880806296</v>
      </c>
      <c r="L169" s="4">
        <f t="shared" si="17"/>
        <v>1.0113987717230097</v>
      </c>
      <c r="M169" s="4">
        <f t="shared" si="19"/>
        <v>54.3000000000002</v>
      </c>
      <c r="N169" s="4">
        <f t="shared" si="18"/>
        <v>8.416206261510059</v>
      </c>
    </row>
    <row r="170" spans="1:14" s="9" customFormat="1" ht="12.75">
      <c r="A170" s="4"/>
      <c r="B170" s="4"/>
      <c r="C170" s="4"/>
      <c r="D170" s="5"/>
      <c r="E170" s="4"/>
      <c r="F170" s="5"/>
      <c r="G170" s="4"/>
      <c r="I170" s="4"/>
      <c r="J170" s="4">
        <f t="shared" si="15"/>
        <v>0.1113784350513226</v>
      </c>
      <c r="K170" s="4">
        <f t="shared" si="16"/>
        <v>0.2785136692875516</v>
      </c>
      <c r="L170" s="4">
        <f t="shared" si="17"/>
        <v>1.0176725962029696</v>
      </c>
      <c r="M170" s="4">
        <f t="shared" si="19"/>
        <v>54.400000000000205</v>
      </c>
      <c r="N170" s="4">
        <f t="shared" si="18"/>
        <v>8.3823529411764</v>
      </c>
    </row>
    <row r="171" spans="1:14" s="9" customFormat="1" ht="12.75">
      <c r="A171" s="4"/>
      <c r="B171" s="4"/>
      <c r="C171" s="4"/>
      <c r="D171" s="5"/>
      <c r="E171" s="4"/>
      <c r="F171" s="5"/>
      <c r="G171" s="4"/>
      <c r="I171" s="4"/>
      <c r="J171" s="4">
        <f t="shared" si="15"/>
        <v>0.11317608163639306</v>
      </c>
      <c r="K171" s="4">
        <f t="shared" si="16"/>
        <v>0.2815189207856997</v>
      </c>
      <c r="L171" s="4">
        <f t="shared" si="17"/>
        <v>1.0239596760048846</v>
      </c>
      <c r="M171" s="4">
        <f t="shared" si="19"/>
        <v>54.500000000000206</v>
      </c>
      <c r="N171" s="4">
        <f t="shared" si="18"/>
        <v>8.348623853210938</v>
      </c>
    </row>
    <row r="172" spans="1:14" s="9" customFormat="1" ht="12.75">
      <c r="A172" s="4"/>
      <c r="B172" s="4"/>
      <c r="C172" s="4"/>
      <c r="D172" s="5"/>
      <c r="E172" s="4"/>
      <c r="F172" s="5"/>
      <c r="G172" s="4"/>
      <c r="I172" s="4"/>
      <c r="J172" s="4">
        <f t="shared" si="15"/>
        <v>0.11498713838223044</v>
      </c>
      <c r="K172" s="4">
        <f t="shared" si="16"/>
        <v>0.28453833953001406</v>
      </c>
      <c r="L172" s="4">
        <f t="shared" si="17"/>
        <v>1.0302599863448239</v>
      </c>
      <c r="M172" s="4">
        <f t="shared" si="19"/>
        <v>54.60000000000021</v>
      </c>
      <c r="N172" s="4">
        <f t="shared" si="18"/>
        <v>8.315018315018246</v>
      </c>
    </row>
    <row r="173" spans="1:14" s="9" customFormat="1" ht="12.75">
      <c r="A173" s="4"/>
      <c r="B173" s="4"/>
      <c r="C173" s="4"/>
      <c r="D173" s="5"/>
      <c r="E173" s="4"/>
      <c r="F173" s="5"/>
      <c r="G173" s="4"/>
      <c r="I173" s="4"/>
      <c r="J173" s="4">
        <f t="shared" si="15"/>
        <v>0.11681159395358191</v>
      </c>
      <c r="K173" s="4">
        <f t="shared" si="16"/>
        <v>0.2875719120669741</v>
      </c>
      <c r="L173" s="4">
        <f t="shared" si="17"/>
        <v>1.036573502704977</v>
      </c>
      <c r="M173" s="4">
        <f t="shared" si="19"/>
        <v>54.70000000000021</v>
      </c>
      <c r="N173" s="4">
        <f t="shared" si="18"/>
        <v>8.281535648994446</v>
      </c>
    </row>
    <row r="174" spans="1:14" s="9" customFormat="1" ht="12.75" customHeight="1">
      <c r="A174" s="4"/>
      <c r="B174" s="4"/>
      <c r="C174" s="4"/>
      <c r="D174" s="5"/>
      <c r="E174" s="4"/>
      <c r="F174" s="5"/>
      <c r="G174" s="4"/>
      <c r="I174" s="4"/>
      <c r="J174" s="4">
        <f t="shared" si="15"/>
        <v>0.11864943735629184</v>
      </c>
      <c r="K174" s="4">
        <f t="shared" si="16"/>
        <v>0.29061962526004914</v>
      </c>
      <c r="L174" s="4">
        <f t="shared" si="17"/>
        <v>1.0429002008314106</v>
      </c>
      <c r="M174" s="4">
        <f t="shared" si="19"/>
        <v>54.80000000000021</v>
      </c>
      <c r="N174" s="4">
        <f t="shared" si="18"/>
        <v>8.248175182481681</v>
      </c>
    </row>
    <row r="175" spans="1:14" s="9" customFormat="1" ht="12.75">
      <c r="A175" s="4"/>
      <c r="B175" s="4"/>
      <c r="C175" s="4"/>
      <c r="D175" s="5"/>
      <c r="E175" s="4"/>
      <c r="F175" s="5"/>
      <c r="G175" s="4"/>
      <c r="I175" s="4"/>
      <c r="J175" s="4">
        <f t="shared" si="15"/>
        <v>0.12050065793553878</v>
      </c>
      <c r="K175" s="4">
        <f t="shared" si="16"/>
        <v>0.29368146628774466</v>
      </c>
      <c r="L175" s="4">
        <f t="shared" si="17"/>
        <v>1.0492400567318545</v>
      </c>
      <c r="M175" s="4">
        <f t="shared" si="19"/>
        <v>54.90000000000021</v>
      </c>
      <c r="N175" s="4">
        <f t="shared" si="18"/>
        <v>8.214936247723063</v>
      </c>
    </row>
    <row r="176" spans="1:14" s="9" customFormat="1" ht="12.75" customHeight="1">
      <c r="A176" s="4"/>
      <c r="B176" s="4"/>
      <c r="C176" s="4"/>
      <c r="D176" s="5"/>
      <c r="E176" s="4"/>
      <c r="F176" s="5"/>
      <c r="G176" s="4"/>
      <c r="I176" s="4"/>
      <c r="J176" s="4">
        <f t="shared" si="15"/>
        <v>0.12236524537409892</v>
      </c>
      <c r="K176" s="4">
        <f t="shared" si="16"/>
        <v>0.29675742264167354</v>
      </c>
      <c r="L176" s="4">
        <f t="shared" si="17"/>
        <v>1.055593046673511</v>
      </c>
      <c r="M176" s="4">
        <f t="shared" si="19"/>
        <v>55.00000000000021</v>
      </c>
      <c r="N176" s="4">
        <f t="shared" si="18"/>
        <v>8.181818181818112</v>
      </c>
    </row>
    <row r="177" spans="1:14" s="9" customFormat="1" ht="12.75">
      <c r="A177" s="4"/>
      <c r="B177" s="4"/>
      <c r="C177" s="4"/>
      <c r="D177" s="5"/>
      <c r="E177" s="4"/>
      <c r="F177" s="5"/>
      <c r="G177" s="4"/>
      <c r="I177" s="4"/>
      <c r="J177" s="4">
        <f t="shared" si="15"/>
        <v>0.12424318969063661</v>
      </c>
      <c r="K177" s="4">
        <f t="shared" si="16"/>
        <v>0.2998474821246526</v>
      </c>
      <c r="L177" s="4">
        <f t="shared" si="17"/>
        <v>1.0619591471808876</v>
      </c>
      <c r="M177" s="4">
        <f t="shared" si="19"/>
        <v>55.100000000000215</v>
      </c>
      <c r="N177" s="4">
        <f t="shared" si="18"/>
        <v>8.148820326678695</v>
      </c>
    </row>
    <row r="178" spans="1:14" s="9" customFormat="1" ht="12.75">
      <c r="A178" s="4"/>
      <c r="B178" s="4"/>
      <c r="C178" s="4"/>
      <c r="D178" s="5"/>
      <c r="E178" s="4"/>
      <c r="F178" s="5"/>
      <c r="G178" s="4"/>
      <c r="I178" s="4"/>
      <c r="J178" s="4">
        <f t="shared" si="15"/>
        <v>0.12613448123802298</v>
      </c>
      <c r="K178" s="4">
        <f t="shared" si="16"/>
        <v>0.30295163284882565</v>
      </c>
      <c r="L178" s="4">
        <f t="shared" si="17"/>
        <v>1.0683383350336546</v>
      </c>
      <c r="M178" s="4">
        <f t="shared" si="19"/>
        <v>55.200000000000216</v>
      </c>
      <c r="N178" s="4">
        <f t="shared" si="18"/>
        <v>8.115942028985437</v>
      </c>
    </row>
    <row r="179" spans="1:14" s="9" customFormat="1" ht="12.75">
      <c r="A179" s="4"/>
      <c r="B179" s="4"/>
      <c r="C179" s="4"/>
      <c r="D179" s="5"/>
      <c r="E179" s="4"/>
      <c r="F179" s="5"/>
      <c r="G179" s="4"/>
      <c r="I179" s="4"/>
      <c r="J179" s="4">
        <f t="shared" si="15"/>
        <v>0.12803911070168017</v>
      </c>
      <c r="K179" s="4">
        <f t="shared" si="16"/>
        <v>0.3060698632338106</v>
      </c>
      <c r="L179" s="4">
        <f t="shared" si="17"/>
        <v>1.0747305872645265</v>
      </c>
      <c r="M179" s="4">
        <f t="shared" si="19"/>
        <v>55.30000000000022</v>
      </c>
      <c r="N179" s="4">
        <f t="shared" si="18"/>
        <v>8.083182640144596</v>
      </c>
    </row>
    <row r="180" spans="1:14" s="9" customFormat="1" ht="12.75">
      <c r="A180" s="4"/>
      <c r="B180" s="4"/>
      <c r="C180" s="4"/>
      <c r="D180" s="5"/>
      <c r="E180" s="4"/>
      <c r="F180" s="5"/>
      <c r="G180" s="4"/>
      <c r="I180" s="4"/>
      <c r="J180" s="4">
        <f t="shared" si="15"/>
        <v>0.1299570690979533</v>
      </c>
      <c r="K180" s="4">
        <f t="shared" si="16"/>
        <v>0.3092021620048732</v>
      </c>
      <c r="L180" s="4">
        <f t="shared" si="17"/>
        <v>1.0811358811571667</v>
      </c>
      <c r="M180" s="4">
        <f t="shared" si="19"/>
        <v>55.40000000000022</v>
      </c>
      <c r="N180" s="4">
        <f t="shared" si="18"/>
        <v>8.050541516245417</v>
      </c>
    </row>
    <row r="181" spans="1:14" s="9" customFormat="1" ht="12.75">
      <c r="A181" s="4"/>
      <c r="B181" s="4"/>
      <c r="C181" s="4"/>
      <c r="D181" s="5"/>
      <c r="E181" s="4"/>
      <c r="F181" s="5"/>
      <c r="G181" s="4"/>
      <c r="J181" s="4">
        <f t="shared" si="15"/>
        <v>0.13188834777250735</v>
      </c>
      <c r="K181" s="4">
        <f t="shared" si="16"/>
        <v>0.3123485181911231</v>
      </c>
      <c r="L181" s="4">
        <f t="shared" si="17"/>
        <v>1.0875541942441158</v>
      </c>
      <c r="M181" s="4">
        <f t="shared" si="19"/>
        <v>55.50000000000022</v>
      </c>
      <c r="N181" s="4">
        <f t="shared" si="18"/>
        <v>8.018018018017948</v>
      </c>
    </row>
    <row r="182" spans="1:14" s="9" customFormat="1" ht="12.75">
      <c r="A182" s="4"/>
      <c r="B182" s="4"/>
      <c r="C182" s="4"/>
      <c r="D182" s="5"/>
      <c r="E182" s="4"/>
      <c r="F182" s="5"/>
      <c r="G182" s="4"/>
      <c r="J182" s="4">
        <f t="shared" si="15"/>
        <v>0.13383293839875107</v>
      </c>
      <c r="K182" s="4">
        <f t="shared" si="16"/>
        <v>0.31550892112373674</v>
      </c>
      <c r="L182" s="4">
        <f t="shared" si="17"/>
        <v>1.0939855043047417</v>
      </c>
      <c r="M182" s="4">
        <f t="shared" si="19"/>
        <v>55.60000000000022</v>
      </c>
      <c r="N182" s="4">
        <f t="shared" si="18"/>
        <v>7.985611510791294</v>
      </c>
    </row>
    <row r="183" spans="1:14" s="9" customFormat="1" ht="12.75">
      <c r="A183" s="4"/>
      <c r="B183" s="4"/>
      <c r="C183" s="4"/>
      <c r="D183" s="5"/>
      <c r="E183" s="4"/>
      <c r="F183" s="5"/>
      <c r="G183" s="4"/>
      <c r="J183" s="4">
        <f aca="true" t="shared" si="20" ref="J183:J246">IF(D$2&gt;0.2*($N183),(D$2-0.2*($N183))^2/(D$2+0.8*($N183)),0)</f>
        <v>0.13579083297628544</v>
      </c>
      <c r="K183" s="4">
        <f aca="true" t="shared" si="21" ref="K183:K246">IF(E$2&gt;0.2*($N183),(E$2-0.2*($N183))^2/(E$2+0.8*($N183)),0)</f>
        <v>0.31868336043420126</v>
      </c>
      <c r="L183" s="4">
        <f aca="true" t="shared" si="22" ref="L183:L246">IF(F$2&gt;0.2*($N183),(F$2-0.2*($N183))^2/(F$2+0.8*($N183)),0)</f>
        <v>1.1004297893632113</v>
      </c>
      <c r="M183" s="4">
        <f t="shared" si="19"/>
        <v>55.70000000000022</v>
      </c>
      <c r="N183" s="4">
        <f aca="true" t="shared" si="23" ref="N183:N246">IF(M183&gt;0,1000/M183-10,1000)</f>
        <v>7.9533213644523535</v>
      </c>
    </row>
    <row r="184" spans="1:14" s="9" customFormat="1" ht="12.75">
      <c r="A184" s="4"/>
      <c r="B184" s="4"/>
      <c r="C184" s="4"/>
      <c r="D184" s="5"/>
      <c r="E184" s="4"/>
      <c r="F184" s="5"/>
      <c r="G184" s="4"/>
      <c r="J184" s="4">
        <f t="shared" si="20"/>
        <v>0.13776202382937958</v>
      </c>
      <c r="K184" s="4">
        <f t="shared" si="21"/>
        <v>0.32187182605258646</v>
      </c>
      <c r="L184" s="4">
        <f t="shared" si="22"/>
        <v>1.1068870276864906</v>
      </c>
      <c r="M184" s="4">
        <f aca="true" t="shared" si="24" ref="M184:M247">M183+0.1</f>
        <v>55.800000000000225</v>
      </c>
      <c r="N184" s="4">
        <f t="shared" si="23"/>
        <v>7.921146953404946</v>
      </c>
    </row>
    <row r="185" spans="1:14" s="9" customFormat="1" ht="12.75">
      <c r="A185" s="4"/>
      <c r="B185" s="4"/>
      <c r="C185" s="4"/>
      <c r="D185" s="5"/>
      <c r="E185" s="4"/>
      <c r="F185" s="5"/>
      <c r="G185" s="4"/>
      <c r="J185" s="4">
        <f t="shared" si="20"/>
        <v>0.13974650360546917</v>
      </c>
      <c r="K185" s="4">
        <f t="shared" si="21"/>
        <v>0.3250743082058356</v>
      </c>
      <c r="L185" s="4">
        <f t="shared" si="22"/>
        <v>1.1133571977823584</v>
      </c>
      <c r="M185" s="4">
        <f t="shared" si="24"/>
        <v>55.900000000000226</v>
      </c>
      <c r="N185" s="4">
        <f t="shared" si="23"/>
        <v>7.889087656529444</v>
      </c>
    </row>
    <row r="186" spans="1:14" s="9" customFormat="1" ht="12.75" customHeight="1">
      <c r="A186" s="4"/>
      <c r="B186" s="4"/>
      <c r="C186" s="4"/>
      <c r="D186" s="5"/>
      <c r="E186" s="4"/>
      <c r="F186" s="5"/>
      <c r="G186" s="4"/>
      <c r="J186" s="4">
        <f t="shared" si="20"/>
        <v>0.1417442652736817</v>
      </c>
      <c r="K186" s="4">
        <f t="shared" si="21"/>
        <v>0.32829079741608286</v>
      </c>
      <c r="L186" s="4">
        <f t="shared" si="22"/>
        <v>1.1198402783974453</v>
      </c>
      <c r="M186" s="4">
        <f t="shared" si="24"/>
        <v>56.00000000000023</v>
      </c>
      <c r="N186" s="4">
        <f t="shared" si="23"/>
        <v>7.857142857142783</v>
      </c>
    </row>
    <row r="187" spans="1:14" s="9" customFormat="1" ht="12.75">
      <c r="A187" s="4"/>
      <c r="B187" s="4"/>
      <c r="C187" s="4"/>
      <c r="D187" s="5"/>
      <c r="E187" s="4"/>
      <c r="F187" s="5"/>
      <c r="G187" s="4"/>
      <c r="J187" s="4">
        <f t="shared" si="20"/>
        <v>0.14375530212338586</v>
      </c>
      <c r="K187" s="4">
        <f t="shared" si="21"/>
        <v>0.331521284498992</v>
      </c>
      <c r="L187" s="4">
        <f t="shared" si="22"/>
        <v>1.1263362485152975</v>
      </c>
      <c r="M187" s="4">
        <f t="shared" si="24"/>
        <v>56.10000000000023</v>
      </c>
      <c r="N187" s="4">
        <f t="shared" si="23"/>
        <v>7.82531194295893</v>
      </c>
    </row>
    <row r="188" spans="1:14" s="9" customFormat="1" ht="12.75" customHeight="1">
      <c r="A188" s="4"/>
      <c r="B188" s="4"/>
      <c r="C188" s="4"/>
      <c r="D188" s="5"/>
      <c r="E188" s="4"/>
      <c r="F188" s="5"/>
      <c r="G188" s="4"/>
      <c r="J188" s="4">
        <f t="shared" si="20"/>
        <v>0.14577960776276594</v>
      </c>
      <c r="K188" s="4">
        <f t="shared" si="21"/>
        <v>0.33476576056211965</v>
      </c>
      <c r="L188" s="4">
        <f t="shared" si="22"/>
        <v>1.132845087354458</v>
      </c>
      <c r="M188" s="4">
        <f t="shared" si="24"/>
        <v>56.20000000000023</v>
      </c>
      <c r="N188" s="4">
        <f t="shared" si="23"/>
        <v>7.793594306049748</v>
      </c>
    </row>
    <row r="189" spans="1:14" s="9" customFormat="1" ht="12.75">
      <c r="A189" s="4"/>
      <c r="B189" s="4"/>
      <c r="C189" s="4"/>
      <c r="D189" s="5"/>
      <c r="E189" s="4"/>
      <c r="F189" s="5"/>
      <c r="G189" s="4"/>
      <c r="J189" s="4">
        <f t="shared" si="20"/>
        <v>0.14781717611741832</v>
      </c>
      <c r="K189" s="4">
        <f t="shared" si="21"/>
        <v>0.3380242170032978</v>
      </c>
      <c r="L189" s="4">
        <f t="shared" si="22"/>
        <v>1.1393667743665665</v>
      </c>
      <c r="M189" s="4">
        <f t="shared" si="24"/>
        <v>56.30000000000023</v>
      </c>
      <c r="N189" s="4">
        <f t="shared" si="23"/>
        <v>7.76198934280632</v>
      </c>
    </row>
    <row r="190" spans="1:14" s="9" customFormat="1" ht="12.75">
      <c r="A190" s="4"/>
      <c r="B190" s="4"/>
      <c r="C190" s="4"/>
      <c r="D190" s="5"/>
      <c r="E190" s="4"/>
      <c r="F190" s="5"/>
      <c r="G190" s="4"/>
      <c r="J190" s="4">
        <f t="shared" si="20"/>
        <v>0.1498680014289751</v>
      </c>
      <c r="K190" s="4">
        <f t="shared" si="21"/>
        <v>0.3412966455090426</v>
      </c>
      <c r="L190" s="4">
        <f t="shared" si="22"/>
        <v>1.1459012892344873</v>
      </c>
      <c r="M190" s="4">
        <f t="shared" si="24"/>
        <v>56.40000000000023</v>
      </c>
      <c r="N190" s="4">
        <f t="shared" si="23"/>
        <v>7.730496453900635</v>
      </c>
    </row>
    <row r="191" spans="1:14" s="9" customFormat="1" ht="12.75">
      <c r="A191" s="4"/>
      <c r="B191" s="4"/>
      <c r="C191" s="4"/>
      <c r="D191" s="5"/>
      <c r="E191" s="4"/>
      <c r="F191" s="5"/>
      <c r="G191" s="4"/>
      <c r="J191" s="4">
        <f t="shared" si="20"/>
        <v>0.15193207825374866</v>
      </c>
      <c r="K191" s="4">
        <f t="shared" si="21"/>
        <v>0.3445830380529813</v>
      </c>
      <c r="L191" s="4">
        <f t="shared" si="22"/>
        <v>1.1524486118704507</v>
      </c>
      <c r="M191" s="4">
        <f t="shared" si="24"/>
        <v>56.500000000000234</v>
      </c>
      <c r="N191" s="4">
        <f t="shared" si="23"/>
        <v>7.699115044247716</v>
      </c>
    </row>
    <row r="192" spans="1:14" s="9" customFormat="1" ht="12.75">
      <c r="A192" s="4"/>
      <c r="B192" s="4"/>
      <c r="C192" s="4"/>
      <c r="D192" s="5"/>
      <c r="E192" s="4"/>
      <c r="F192" s="5"/>
      <c r="G192" s="4"/>
      <c r="J192" s="4">
        <f t="shared" si="20"/>
        <v>0.1540094014614023</v>
      </c>
      <c r="K192" s="4">
        <f t="shared" si="21"/>
        <v>0.3478833868943054</v>
      </c>
      <c r="L192" s="4">
        <f t="shared" si="22"/>
        <v>1.1590087224142196</v>
      </c>
      <c r="M192" s="4">
        <f t="shared" si="24"/>
        <v>56.600000000000236</v>
      </c>
      <c r="N192" s="4">
        <f t="shared" si="23"/>
        <v>7.6678445229681245</v>
      </c>
    </row>
    <row r="193" spans="1:14" s="9" customFormat="1" ht="12.75">
      <c r="A193" s="4"/>
      <c r="B193" s="4"/>
      <c r="C193" s="4"/>
      <c r="D193" s="5"/>
      <c r="E193" s="4"/>
      <c r="F193" s="5"/>
      <c r="G193" s="4"/>
      <c r="J193" s="4">
        <f t="shared" si="20"/>
        <v>0.15609996623364084</v>
      </c>
      <c r="K193" s="4">
        <f t="shared" si="21"/>
        <v>0.35119768457623907</v>
      </c>
      <c r="L193" s="4">
        <f t="shared" si="22"/>
        <v>1.1655816012312696</v>
      </c>
      <c r="M193" s="4">
        <f t="shared" si="24"/>
        <v>56.70000000000024</v>
      </c>
      <c r="N193" s="4">
        <f t="shared" si="23"/>
        <v>7.636684303350897</v>
      </c>
    </row>
    <row r="194" spans="1:14" s="9" customFormat="1" ht="12.75">
      <c r="A194" s="4"/>
      <c r="B194" s="4"/>
      <c r="C194" s="4"/>
      <c r="D194" s="5"/>
      <c r="E194" s="4"/>
      <c r="F194" s="5"/>
      <c r="G194" s="4"/>
      <c r="J194" s="4">
        <f t="shared" si="20"/>
        <v>0.158203768062928</v>
      </c>
      <c r="K194" s="4">
        <f t="shared" si="21"/>
        <v>0.3545259239245358</v>
      </c>
      <c r="L194" s="4">
        <f t="shared" si="22"/>
        <v>1.172167228910998</v>
      </c>
      <c r="M194" s="4">
        <f t="shared" si="24"/>
        <v>56.80000000000024</v>
      </c>
      <c r="N194" s="4">
        <f t="shared" si="23"/>
        <v>7.605633802816829</v>
      </c>
    </row>
    <row r="195" spans="1:14" s="9" customFormat="1" ht="12.75">
      <c r="A195" s="4"/>
      <c r="B195" s="4"/>
      <c r="C195" s="4"/>
      <c r="D195" s="5"/>
      <c r="E195" s="4"/>
      <c r="F195" s="5"/>
      <c r="G195" s="4"/>
      <c r="J195" s="4">
        <f t="shared" si="20"/>
        <v>0.16032080275122396</v>
      </c>
      <c r="K195" s="4">
        <f t="shared" si="21"/>
        <v>0.35786809804599107</v>
      </c>
      <c r="L195" s="4">
        <f t="shared" si="22"/>
        <v>1.1787655862649435</v>
      </c>
      <c r="M195" s="4">
        <f t="shared" si="24"/>
        <v>56.90000000000024</v>
      </c>
      <c r="N195" s="4">
        <f t="shared" si="23"/>
        <v>7.574692442882174</v>
      </c>
    </row>
    <row r="196" spans="1:14" s="9" customFormat="1" ht="12.75">
      <c r="A196" s="4"/>
      <c r="B196" s="4"/>
      <c r="C196" s="4"/>
      <c r="D196" s="5"/>
      <c r="E196" s="4"/>
      <c r="F196" s="5"/>
      <c r="G196" s="4"/>
      <c r="J196" s="4">
        <f t="shared" si="20"/>
        <v>0.1624510664087464</v>
      </c>
      <c r="K196" s="4">
        <f t="shared" si="21"/>
        <v>0.3612242003269774</v>
      </c>
      <c r="L196" s="4">
        <f t="shared" si="22"/>
        <v>1.1853766543250293</v>
      </c>
      <c r="M196" s="4">
        <f t="shared" si="24"/>
        <v>57.00000000000024</v>
      </c>
      <c r="N196" s="4">
        <f t="shared" si="23"/>
        <v>7.543859649122734</v>
      </c>
    </row>
    <row r="197" spans="1:14" s="9" customFormat="1" ht="14.25" customHeight="1">
      <c r="A197" s="4"/>
      <c r="B197" s="4"/>
      <c r="C197" s="4"/>
      <c r="D197" s="5"/>
      <c r="E197" s="4"/>
      <c r="F197" s="5"/>
      <c r="G197" s="4"/>
      <c r="J197" s="4">
        <f t="shared" si="20"/>
        <v>0.1645945554527551</v>
      </c>
      <c r="K197" s="4">
        <f t="shared" si="21"/>
        <v>0.364594224432002</v>
      </c>
      <c r="L197" s="4">
        <f t="shared" si="22"/>
        <v>1.1920004143418272</v>
      </c>
      <c r="M197" s="4">
        <f t="shared" si="24"/>
        <v>57.10000000000024</v>
      </c>
      <c r="N197" s="4">
        <f t="shared" si="23"/>
        <v>7.513134851138279</v>
      </c>
    </row>
    <row r="198" spans="1:14" s="9" customFormat="1" ht="12.75">
      <c r="A198" s="4"/>
      <c r="B198" s="4"/>
      <c r="C198" s="4"/>
      <c r="D198" s="5"/>
      <c r="E198" s="4"/>
      <c r="F198" s="5"/>
      <c r="G198" s="4"/>
      <c r="J198" s="4">
        <f t="shared" si="20"/>
        <v>0.166751266606356</v>
      </c>
      <c r="K198" s="4">
        <f t="shared" si="21"/>
        <v>0.3679781643022802</v>
      </c>
      <c r="L198" s="4">
        <f t="shared" si="22"/>
        <v>1.198636847782834</v>
      </c>
      <c r="M198" s="4">
        <f t="shared" si="24"/>
        <v>57.200000000000244</v>
      </c>
      <c r="N198" s="4">
        <f t="shared" si="23"/>
        <v>7.482517482517409</v>
      </c>
    </row>
    <row r="199" spans="1:14" s="9" customFormat="1" ht="12.75">
      <c r="A199" s="4"/>
      <c r="B199" s="4"/>
      <c r="C199" s="4"/>
      <c r="D199" s="5"/>
      <c r="E199" s="4"/>
      <c r="F199" s="5"/>
      <c r="G199" s="4"/>
      <c r="J199" s="4">
        <f t="shared" si="20"/>
        <v>0.16892119689733096</v>
      </c>
      <c r="K199" s="4">
        <f t="shared" si="21"/>
        <v>0.3713760141543348</v>
      </c>
      <c r="L199" s="4">
        <f t="shared" si="22"/>
        <v>1.2052859363307737</v>
      </c>
      <c r="M199" s="4">
        <f t="shared" si="24"/>
        <v>57.300000000000246</v>
      </c>
      <c r="N199" s="4">
        <f t="shared" si="23"/>
        <v>7.452006980802718</v>
      </c>
    </row>
    <row r="200" spans="1:14" s="9" customFormat="1" ht="12.75">
      <c r="A200" s="4"/>
      <c r="B200" s="4"/>
      <c r="C200" s="4"/>
      <c r="D200" s="5"/>
      <c r="E200" s="4"/>
      <c r="F200" s="5"/>
      <c r="G200" s="4"/>
      <c r="J200" s="4">
        <f t="shared" si="20"/>
        <v>0.17110434365698593</v>
      </c>
      <c r="K200" s="4">
        <f t="shared" si="21"/>
        <v>0.37478776847861006</v>
      </c>
      <c r="L200" s="4">
        <f t="shared" si="22"/>
        <v>1.211947661881913</v>
      </c>
      <c r="M200" s="4">
        <f t="shared" si="24"/>
        <v>57.40000000000025</v>
      </c>
      <c r="N200" s="4">
        <f t="shared" si="23"/>
        <v>7.421602787456372</v>
      </c>
    </row>
    <row r="201" spans="1:14" s="9" customFormat="1" ht="12.75">
      <c r="A201" s="4"/>
      <c r="B201" s="4"/>
      <c r="C201" s="4"/>
      <c r="D201" s="5"/>
      <c r="E201" s="4"/>
      <c r="F201" s="5"/>
      <c r="G201" s="4"/>
      <c r="J201" s="4">
        <f t="shared" si="20"/>
        <v>0.17330070451902313</v>
      </c>
      <c r="K201" s="4">
        <f t="shared" si="21"/>
        <v>0.37821342203810937</v>
      </c>
      <c r="L201" s="4">
        <f t="shared" si="22"/>
        <v>1.2186220065443962</v>
      </c>
      <c r="M201" s="4">
        <f t="shared" si="24"/>
        <v>57.50000000000025</v>
      </c>
      <c r="N201" s="4">
        <f t="shared" si="23"/>
        <v>7.391304347826011</v>
      </c>
    </row>
    <row r="202" spans="1:14" s="9" customFormat="1" ht="12.75">
      <c r="A202" s="4"/>
      <c r="B202" s="4"/>
      <c r="C202" s="4"/>
      <c r="D202" s="5"/>
      <c r="E202" s="4"/>
      <c r="F202" s="5"/>
      <c r="G202" s="4"/>
      <c r="J202" s="4">
        <f t="shared" si="20"/>
        <v>0.17551027741843306</v>
      </c>
      <c r="K202" s="4">
        <f t="shared" si="21"/>
        <v>0.38165296986704944</v>
      </c>
      <c r="L202" s="4">
        <f t="shared" si="22"/>
        <v>1.2253089526365992</v>
      </c>
      <c r="M202" s="4">
        <f t="shared" si="24"/>
        <v>57.60000000000025</v>
      </c>
      <c r="N202" s="4">
        <f t="shared" si="23"/>
        <v>7.361111111111036</v>
      </c>
    </row>
    <row r="203" spans="1:14" s="9" customFormat="1" ht="12.75">
      <c r="A203" s="4"/>
      <c r="B203" s="4"/>
      <c r="C203" s="4"/>
      <c r="D203" s="5"/>
      <c r="E203" s="4"/>
      <c r="F203" s="5"/>
      <c r="G203" s="4"/>
      <c r="J203" s="4">
        <f t="shared" si="20"/>
        <v>0.1777330605904093</v>
      </c>
      <c r="K203" s="4">
        <f t="shared" si="21"/>
        <v>0.3851064072695365</v>
      </c>
      <c r="L203" s="4">
        <f t="shared" si="22"/>
        <v>1.2320084826854991</v>
      </c>
      <c r="M203" s="4">
        <f t="shared" si="24"/>
        <v>57.70000000000025</v>
      </c>
      <c r="N203" s="4">
        <f t="shared" si="23"/>
        <v>7.331022530329214</v>
      </c>
    </row>
    <row r="204" spans="1:14" s="9" customFormat="1" ht="12.75">
      <c r="A204" s="4"/>
      <c r="B204" s="4"/>
      <c r="C204" s="4"/>
      <c r="D204" s="5"/>
      <c r="E204" s="4"/>
      <c r="F204" s="5"/>
      <c r="G204" s="4"/>
      <c r="J204" s="4">
        <f t="shared" si="20"/>
        <v>0.17996905256928294</v>
      </c>
      <c r="K204" s="4">
        <f t="shared" si="21"/>
        <v>0.38857372981825955</v>
      </c>
      <c r="L204" s="4">
        <f t="shared" si="22"/>
        <v>1.2387205794250635</v>
      </c>
      <c r="M204" s="4">
        <f t="shared" si="24"/>
        <v>57.80000000000025</v>
      </c>
      <c r="N204" s="4">
        <f t="shared" si="23"/>
        <v>7.301038062283663</v>
      </c>
    </row>
    <row r="205" spans="1:14" s="9" customFormat="1" ht="12.75">
      <c r="A205" s="4"/>
      <c r="B205" s="4"/>
      <c r="C205" s="4"/>
      <c r="D205" s="5"/>
      <c r="E205" s="4"/>
      <c r="F205" s="5"/>
      <c r="G205" s="4"/>
      <c r="J205" s="4">
        <f t="shared" si="20"/>
        <v>0.18221825218747958</v>
      </c>
      <c r="K205" s="4">
        <f t="shared" si="21"/>
        <v>0.3920549333532047</v>
      </c>
      <c r="L205" s="4">
        <f t="shared" si="22"/>
        <v>1.2454452257946564</v>
      </c>
      <c r="M205" s="4">
        <f t="shared" si="24"/>
        <v>57.900000000000254</v>
      </c>
      <c r="N205" s="4">
        <f t="shared" si="23"/>
        <v>7.2711571675301485</v>
      </c>
    </row>
    <row r="206" spans="1:14" s="9" customFormat="1" ht="12.75">
      <c r="A206" s="4"/>
      <c r="B206" s="4"/>
      <c r="C206" s="4"/>
      <c r="D206" s="5"/>
      <c r="E206" s="4"/>
      <c r="F206" s="5"/>
      <c r="G206" s="4"/>
      <c r="J206" s="4">
        <f t="shared" si="20"/>
        <v>0.18448065857449455</v>
      </c>
      <c r="K206" s="4">
        <f t="shared" si="21"/>
        <v>0.39555001398038453</v>
      </c>
      <c r="L206" s="4">
        <f t="shared" si="22"/>
        <v>1.2521824049374575</v>
      </c>
      <c r="M206" s="4">
        <f t="shared" si="24"/>
        <v>58.000000000000256</v>
      </c>
      <c r="N206" s="4">
        <f t="shared" si="23"/>
        <v>7.241379310344751</v>
      </c>
    </row>
    <row r="207" spans="1:14" s="9" customFormat="1" ht="12.75">
      <c r="A207" s="4"/>
      <c r="B207" s="4"/>
      <c r="C207" s="4"/>
      <c r="D207" s="5"/>
      <c r="E207" s="4"/>
      <c r="F207" s="5"/>
      <c r="G207" s="4"/>
      <c r="J207" s="4">
        <f t="shared" si="20"/>
        <v>0.18675627115589102</v>
      </c>
      <c r="K207" s="4">
        <f t="shared" si="21"/>
        <v>0.3990589680705902</v>
      </c>
      <c r="L207" s="4">
        <f t="shared" si="22"/>
        <v>1.2589321001989038</v>
      </c>
      <c r="M207" s="4">
        <f t="shared" si="24"/>
        <v>58.10000000000026</v>
      </c>
      <c r="N207" s="4">
        <f t="shared" si="23"/>
        <v>7.211703958691835</v>
      </c>
    </row>
    <row r="208" spans="1:14" s="9" customFormat="1" ht="12.75">
      <c r="A208" s="4"/>
      <c r="B208" s="4"/>
      <c r="C208" s="4"/>
      <c r="D208" s="5"/>
      <c r="E208" s="4"/>
      <c r="F208" s="5"/>
      <c r="G208" s="4"/>
      <c r="J208" s="4">
        <f t="shared" si="20"/>
        <v>0.18904508965231817</v>
      </c>
      <c r="K208" s="4">
        <f t="shared" si="21"/>
        <v>0.4025817922581603</v>
      </c>
      <c r="L208" s="4">
        <f t="shared" si="22"/>
        <v>1.2656942951251455</v>
      </c>
      <c r="M208" s="4">
        <f t="shared" si="24"/>
        <v>58.20000000000026</v>
      </c>
      <c r="N208" s="4">
        <f t="shared" si="23"/>
        <v>7.182130584192365</v>
      </c>
    </row>
    <row r="209" spans="1:14" s="9" customFormat="1" ht="12.75">
      <c r="A209" s="4"/>
      <c r="B209" s="4"/>
      <c r="C209" s="4"/>
      <c r="D209" s="5"/>
      <c r="E209" s="4"/>
      <c r="F209" s="5"/>
      <c r="G209" s="4"/>
      <c r="J209" s="4">
        <f t="shared" si="20"/>
        <v>0.1913471140785481</v>
      </c>
      <c r="K209" s="4">
        <f t="shared" si="21"/>
        <v>0.40611848343976664</v>
      </c>
      <c r="L209" s="4">
        <f t="shared" si="22"/>
        <v>1.2724689734615182</v>
      </c>
      <c r="M209" s="4">
        <f t="shared" si="24"/>
        <v>58.30000000000026</v>
      </c>
      <c r="N209" s="4">
        <f t="shared" si="23"/>
        <v>7.1526586620925485</v>
      </c>
    </row>
    <row r="210" spans="1:14" s="9" customFormat="1" ht="33.75" customHeight="1">
      <c r="A210" s="4"/>
      <c r="B210" s="4"/>
      <c r="C210" s="4"/>
      <c r="D210" s="5"/>
      <c r="E210" s="4"/>
      <c r="F210" s="5"/>
      <c r="G210" s="4"/>
      <c r="J210" s="4">
        <f t="shared" si="20"/>
        <v>0.1936623447425341</v>
      </c>
      <c r="K210" s="4">
        <f t="shared" si="21"/>
        <v>0.4096690387732195</v>
      </c>
      <c r="L210" s="4">
        <f t="shared" si="22"/>
        <v>1.27925611915103</v>
      </c>
      <c r="M210" s="4">
        <f t="shared" si="24"/>
        <v>58.40000000000026</v>
      </c>
      <c r="N210" s="4">
        <f t="shared" si="23"/>
        <v>7.123287671232799</v>
      </c>
    </row>
    <row r="211" spans="1:14" s="9" customFormat="1" ht="12.75">
      <c r="A211" s="4"/>
      <c r="B211" s="4"/>
      <c r="C211" s="4"/>
      <c r="D211" s="5"/>
      <c r="E211" s="4"/>
      <c r="F211" s="5"/>
      <c r="G211" s="4"/>
      <c r="J211" s="4">
        <f t="shared" si="20"/>
        <v>0.19599078224448796</v>
      </c>
      <c r="K211" s="4">
        <f t="shared" si="21"/>
        <v>0.41323345567628933</v>
      </c>
      <c r="L211" s="4">
        <f t="shared" si="22"/>
        <v>1.2860557163328656</v>
      </c>
      <c r="M211" s="4">
        <f t="shared" si="24"/>
        <v>58.50000000000026</v>
      </c>
      <c r="N211" s="4">
        <f t="shared" si="23"/>
        <v>7.0940170940170155</v>
      </c>
    </row>
    <row r="212" spans="1:14" s="9" customFormat="1" ht="12.75">
      <c r="A212" s="4"/>
      <c r="B212" s="4"/>
      <c r="C212" s="4"/>
      <c r="D212" s="5"/>
      <c r="E212" s="4"/>
      <c r="F212" s="5"/>
      <c r="G212" s="4"/>
      <c r="J212" s="4">
        <f t="shared" si="20"/>
        <v>0.1983324274759781</v>
      </c>
      <c r="K212" s="4">
        <f t="shared" si="21"/>
        <v>0.4168117318255487</v>
      </c>
      <c r="L212" s="4">
        <f t="shared" si="22"/>
        <v>1.2928677493409089</v>
      </c>
      <c r="M212" s="4">
        <f t="shared" si="24"/>
        <v>58.600000000000264</v>
      </c>
      <c r="N212" s="4">
        <f t="shared" si="23"/>
        <v>7.064846416382174</v>
      </c>
    </row>
    <row r="213" spans="1:14" s="9" customFormat="1" ht="12.75">
      <c r="A213" s="4"/>
      <c r="B213" s="4"/>
      <c r="C213" s="4"/>
      <c r="D213" s="5"/>
      <c r="E213" s="4"/>
      <c r="F213" s="5"/>
      <c r="G213" s="4"/>
      <c r="H213" s="168"/>
      <c r="J213" s="4">
        <f t="shared" si="20"/>
        <v>0.20068728161904642</v>
      </c>
      <c r="K213" s="4">
        <f t="shared" si="21"/>
        <v>0.4204038651552288</v>
      </c>
      <c r="L213" s="4">
        <f t="shared" si="22"/>
        <v>1.2996922027022768</v>
      </c>
      <c r="M213" s="4">
        <f t="shared" si="24"/>
        <v>58.700000000000266</v>
      </c>
      <c r="N213" s="4">
        <f t="shared" si="23"/>
        <v>7.035775127768236</v>
      </c>
    </row>
    <row r="214" spans="1:14" s="9" customFormat="1" ht="12.75">
      <c r="A214" s="4"/>
      <c r="B214" s="4"/>
      <c r="C214" s="4"/>
      <c r="D214" s="5"/>
      <c r="E214" s="4"/>
      <c r="F214" s="5"/>
      <c r="G214" s="4"/>
      <c r="H214" s="168"/>
      <c r="J214" s="4">
        <f t="shared" si="20"/>
        <v>0.20305534614534454</v>
      </c>
      <c r="K214" s="4">
        <f t="shared" si="21"/>
        <v>0.42400985385609474</v>
      </c>
      <c r="L214" s="4">
        <f t="shared" si="22"/>
        <v>1.306529061135873</v>
      </c>
      <c r="M214" s="4">
        <f t="shared" si="24"/>
        <v>58.80000000000027</v>
      </c>
      <c r="N214" s="4">
        <f t="shared" si="23"/>
        <v>7.006802721088359</v>
      </c>
    </row>
    <row r="215" spans="1:14" s="9" customFormat="1" ht="16.5" customHeight="1">
      <c r="A215" s="4"/>
      <c r="B215" s="4"/>
      <c r="C215" s="4"/>
      <c r="D215" s="5"/>
      <c r="E215" s="4"/>
      <c r="F215" s="5"/>
      <c r="G215" s="4"/>
      <c r="H215" s="6"/>
      <c r="J215" s="4">
        <f t="shared" si="20"/>
        <v>0.20543662281528954</v>
      </c>
      <c r="K215" s="4">
        <f t="shared" si="21"/>
        <v>0.42762969637433756</v>
      </c>
      <c r="L215" s="4">
        <f t="shared" si="22"/>
        <v>1.313378309550952</v>
      </c>
      <c r="M215" s="4">
        <f t="shared" si="24"/>
        <v>58.90000000000027</v>
      </c>
      <c r="N215" s="4">
        <f t="shared" si="23"/>
        <v>6.977928692699415</v>
      </c>
    </row>
    <row r="216" spans="1:14" s="9" customFormat="1" ht="12.75" hidden="1">
      <c r="A216" s="4"/>
      <c r="B216" s="4"/>
      <c r="C216" s="4"/>
      <c r="D216" s="5"/>
      <c r="E216" s="4"/>
      <c r="F216" s="5"/>
      <c r="G216" s="4"/>
      <c r="H216" s="6"/>
      <c r="J216" s="4">
        <f t="shared" si="20"/>
        <v>0.20783111367723864</v>
      </c>
      <c r="K216" s="4">
        <f t="shared" si="21"/>
        <v>0.431263391410483</v>
      </c>
      <c r="L216" s="4">
        <f t="shared" si="22"/>
        <v>1.3202399330457022</v>
      </c>
      <c r="M216" s="4">
        <f t="shared" si="24"/>
        <v>59.00000000000027</v>
      </c>
      <c r="N216" s="4">
        <f t="shared" si="23"/>
        <v>6.949152542372804</v>
      </c>
    </row>
    <row r="217" spans="1:14" s="9" customFormat="1" ht="12.75" hidden="1">
      <c r="A217" s="4"/>
      <c r="B217" s="4"/>
      <c r="C217" s="4"/>
      <c r="D217" s="5"/>
      <c r="E217" s="4"/>
      <c r="F217" s="5"/>
      <c r="G217" s="4"/>
      <c r="H217" s="6"/>
      <c r="J217" s="4">
        <f t="shared" si="20"/>
        <v>0.21023882106668293</v>
      </c>
      <c r="K217" s="4">
        <f t="shared" si="21"/>
        <v>0.4349109379183169</v>
      </c>
      <c r="L217" s="4">
        <f t="shared" si="22"/>
        <v>1.3271139169058417</v>
      </c>
      <c r="M217" s="4">
        <f t="shared" si="24"/>
        <v>59.10000000000027</v>
      </c>
      <c r="N217" s="4">
        <f t="shared" si="23"/>
        <v>6.920473773265574</v>
      </c>
    </row>
    <row r="218" spans="1:14" s="9" customFormat="1" ht="12.75" hidden="1">
      <c r="A218" s="4"/>
      <c r="B218" s="4"/>
      <c r="C218" s="4"/>
      <c r="D218" s="5"/>
      <c r="E218" s="4"/>
      <c r="F218" s="5"/>
      <c r="G218" s="4"/>
      <c r="H218" s="6"/>
      <c r="J218" s="4">
        <f t="shared" si="20"/>
        <v>0.21265974760546014</v>
      </c>
      <c r="K218" s="4">
        <f t="shared" si="21"/>
        <v>0.43857233510382865</v>
      </c>
      <c r="L218" s="4">
        <f t="shared" si="22"/>
        <v>1.334000246603231</v>
      </c>
      <c r="M218" s="4">
        <f t="shared" si="24"/>
        <v>59.20000000000027</v>
      </c>
      <c r="N218" s="4">
        <f t="shared" si="23"/>
        <v>6.891891891891813</v>
      </c>
    </row>
    <row r="219" spans="1:14" s="9" customFormat="1" ht="12.75" hidden="1">
      <c r="A219" s="4"/>
      <c r="B219" s="4"/>
      <c r="C219" s="4"/>
      <c r="D219" s="5"/>
      <c r="E219" s="4"/>
      <c r="F219" s="5"/>
      <c r="G219" s="4"/>
      <c r="H219" s="6"/>
      <c r="J219" s="4">
        <f t="shared" si="20"/>
        <v>0.21509389620098557</v>
      </c>
      <c r="K219" s="4">
        <f t="shared" si="21"/>
        <v>0.442247582424169</v>
      </c>
      <c r="L219" s="4">
        <f t="shared" si="22"/>
        <v>1.3408989077944984</v>
      </c>
      <c r="M219" s="4">
        <f t="shared" si="24"/>
        <v>59.300000000000274</v>
      </c>
      <c r="N219" s="4">
        <f t="shared" si="23"/>
        <v>6.863406408094356</v>
      </c>
    </row>
    <row r="220" spans="1:14" s="9" customFormat="1" ht="12.75">
      <c r="A220" s="4"/>
      <c r="B220" s="4"/>
      <c r="C220" s="4"/>
      <c r="D220" s="5"/>
      <c r="E220" s="4"/>
      <c r="F220" s="5"/>
      <c r="G220" s="4"/>
      <c r="H220" s="6"/>
      <c r="J220" s="4">
        <f t="shared" si="20"/>
        <v>0.21754127004550214</v>
      </c>
      <c r="K220" s="4">
        <f t="shared" si="21"/>
        <v>0.445936679586626</v>
      </c>
      <c r="L220" s="4">
        <f t="shared" si="22"/>
        <v>1.3478098863196806</v>
      </c>
      <c r="M220" s="4">
        <f t="shared" si="24"/>
        <v>59.400000000000276</v>
      </c>
      <c r="N220" s="4">
        <f t="shared" si="23"/>
        <v>6.835016835016756</v>
      </c>
    </row>
    <row r="221" spans="1:14" s="9" customFormat="1" ht="12.75">
      <c r="A221" s="4"/>
      <c r="B221" s="4"/>
      <c r="C221" s="4"/>
      <c r="D221" s="5"/>
      <c r="E221" s="4"/>
      <c r="F221" s="5"/>
      <c r="G221" s="4"/>
      <c r="H221" s="6"/>
      <c r="J221" s="4">
        <f t="shared" si="20"/>
        <v>0.22000187261534826</v>
      </c>
      <c r="K221" s="4">
        <f t="shared" si="21"/>
        <v>0.4496396265476149</v>
      </c>
      <c r="L221" s="4">
        <f t="shared" si="22"/>
        <v>1.354733168200876</v>
      </c>
      <c r="M221" s="4">
        <f t="shared" si="24"/>
        <v>59.50000000000028</v>
      </c>
      <c r="N221" s="4">
        <f t="shared" si="23"/>
        <v>6.806722689075553</v>
      </c>
    </row>
    <row r="222" spans="1:14" s="9" customFormat="1" ht="12.75">
      <c r="A222" s="4"/>
      <c r="B222" s="4"/>
      <c r="C222" s="4"/>
      <c r="D222" s="5"/>
      <c r="E222" s="4"/>
      <c r="F222" s="5"/>
      <c r="G222" s="4"/>
      <c r="H222" s="177"/>
      <c r="J222" s="4">
        <f t="shared" si="20"/>
        <v>0.2224757076702444</v>
      </c>
      <c r="K222" s="4">
        <f t="shared" si="21"/>
        <v>0.4533564235116871</v>
      </c>
      <c r="L222" s="4">
        <f t="shared" si="22"/>
        <v>1.3616687396409168</v>
      </c>
      <c r="M222" s="4">
        <f t="shared" si="24"/>
        <v>59.60000000000028</v>
      </c>
      <c r="N222" s="4">
        <f t="shared" si="23"/>
        <v>6.778523489932809</v>
      </c>
    </row>
    <row r="223" spans="1:14" s="9" customFormat="1" ht="12.75">
      <c r="A223" s="4"/>
      <c r="B223" s="4"/>
      <c r="C223" s="4"/>
      <c r="D223" s="5"/>
      <c r="E223" s="4"/>
      <c r="F223" s="5"/>
      <c r="G223" s="4"/>
      <c r="H223" s="6"/>
      <c r="J223" s="4">
        <f t="shared" si="20"/>
        <v>0.22496277925259803</v>
      </c>
      <c r="K223" s="4">
        <f t="shared" si="21"/>
        <v>0.45708707093055256</v>
      </c>
      <c r="L223" s="4">
        <f t="shared" si="22"/>
        <v>1.3686165870220495</v>
      </c>
      <c r="M223" s="4">
        <f t="shared" si="24"/>
        <v>59.70000000000028</v>
      </c>
      <c r="N223" s="4">
        <f t="shared" si="23"/>
        <v>6.750418760468932</v>
      </c>
    </row>
    <row r="224" spans="1:14" s="9" customFormat="1" ht="12.75">
      <c r="A224" s="4"/>
      <c r="B224" s="4"/>
      <c r="C224" s="4"/>
      <c r="D224" s="5"/>
      <c r="E224" s="4"/>
      <c r="F224" s="5"/>
      <c r="G224" s="4"/>
      <c r="H224" s="6"/>
      <c r="J224" s="4">
        <f t="shared" si="20"/>
        <v>0.2274630916868248</v>
      </c>
      <c r="K224" s="4">
        <f t="shared" si="21"/>
        <v>0.4608315695021167</v>
      </c>
      <c r="L224" s="4">
        <f t="shared" si="22"/>
        <v>1.3755766969046284</v>
      </c>
      <c r="M224" s="4">
        <f t="shared" si="24"/>
        <v>59.80000000000028</v>
      </c>
      <c r="N224" s="4">
        <f t="shared" si="23"/>
        <v>6.722408026755772</v>
      </c>
    </row>
    <row r="225" spans="1:14" s="9" customFormat="1" ht="12.75">
      <c r="A225" s="4"/>
      <c r="B225" s="4"/>
      <c r="C225" s="4"/>
      <c r="D225" s="5"/>
      <c r="E225" s="4"/>
      <c r="F225" s="5"/>
      <c r="G225" s="4"/>
      <c r="H225" s="6"/>
      <c r="J225" s="4">
        <f t="shared" si="20"/>
        <v>0.22997664957869018</v>
      </c>
      <c r="K225" s="4">
        <f t="shared" si="21"/>
        <v>0.46458992016953676</v>
      </c>
      <c r="L225" s="4">
        <f t="shared" si="22"/>
        <v>1.3825490560258296</v>
      </c>
      <c r="M225" s="4">
        <f t="shared" si="24"/>
        <v>59.90000000000028</v>
      </c>
      <c r="N225" s="4">
        <f t="shared" si="23"/>
        <v>6.694490818029973</v>
      </c>
    </row>
    <row r="226" spans="1:14" s="9" customFormat="1" ht="12.75">
      <c r="A226" s="4"/>
      <c r="B226" s="4"/>
      <c r="C226" s="4"/>
      <c r="D226" s="5"/>
      <c r="E226" s="4"/>
      <c r="F226" s="5"/>
      <c r="G226" s="4"/>
      <c r="H226" s="177"/>
      <c r="J226" s="4">
        <f t="shared" si="20"/>
        <v>0.23250345781466852</v>
      </c>
      <c r="K226" s="4">
        <f t="shared" si="21"/>
        <v>0.4683621241202924</v>
      </c>
      <c r="L226" s="4">
        <f t="shared" si="22"/>
        <v>1.3895336512983776</v>
      </c>
      <c r="M226" s="4">
        <f t="shared" si="24"/>
        <v>60.000000000000284</v>
      </c>
      <c r="N226" s="4">
        <f t="shared" si="23"/>
        <v>6.666666666666586</v>
      </c>
    </row>
    <row r="227" spans="9:14" ht="12.75" customHeight="1">
      <c r="I227" s="9"/>
      <c r="J227" s="4">
        <f t="shared" si="20"/>
        <v>0.23504352156131558</v>
      </c>
      <c r="K227" s="4">
        <f t="shared" si="21"/>
        <v>0.4721481827852666</v>
      </c>
      <c r="L227" s="4">
        <f t="shared" si="22"/>
        <v>1.3965304698092709</v>
      </c>
      <c r="M227" s="4">
        <f t="shared" si="24"/>
        <v>60.100000000000286</v>
      </c>
      <c r="N227" s="4">
        <f t="shared" si="23"/>
        <v>6.6389351081529995</v>
      </c>
    </row>
    <row r="228" spans="9:14" ht="12.75">
      <c r="I228" s="9"/>
      <c r="J228" s="4">
        <f t="shared" si="20"/>
        <v>0.2375968462646659</v>
      </c>
      <c r="K228" s="4">
        <f t="shared" si="21"/>
        <v>0.47594809783784975</v>
      </c>
      <c r="L228" s="4">
        <f t="shared" si="22"/>
        <v>1.4035394988185437</v>
      </c>
      <c r="M228" s="4">
        <f t="shared" si="24"/>
        <v>60.20000000000029</v>
      </c>
      <c r="N228" s="4">
        <f t="shared" si="23"/>
        <v>6.611295681063044</v>
      </c>
    </row>
    <row r="229" spans="9:14" ht="12.75">
      <c r="I229" s="9"/>
      <c r="J229" s="4">
        <f t="shared" si="20"/>
        <v>0.2401634376496409</v>
      </c>
      <c r="K229" s="4">
        <f t="shared" si="21"/>
        <v>0.4797618711930527</v>
      </c>
      <c r="L229" s="4">
        <f t="shared" si="22"/>
        <v>1.410560725758023</v>
      </c>
      <c r="M229" s="4">
        <f t="shared" si="24"/>
        <v>60.30000000000029</v>
      </c>
      <c r="N229" s="4">
        <f t="shared" si="23"/>
        <v>6.583747927031428</v>
      </c>
    </row>
    <row r="230" spans="9:14" ht="12.75">
      <c r="I230" s="9"/>
      <c r="J230" s="4">
        <f t="shared" si="20"/>
        <v>0.2427433017194772</v>
      </c>
      <c r="K230" s="4">
        <f t="shared" si="21"/>
        <v>0.4835895050066357</v>
      </c>
      <c r="L230" s="4">
        <f t="shared" si="22"/>
        <v>1.4175941382301023</v>
      </c>
      <c r="M230" s="4">
        <f t="shared" si="24"/>
        <v>60.40000000000029</v>
      </c>
      <c r="N230" s="4">
        <f t="shared" si="23"/>
        <v>6.556291390728397</v>
      </c>
    </row>
    <row r="231" spans="9:14" ht="15" customHeight="1">
      <c r="I231" s="9"/>
      <c r="J231" s="4">
        <f t="shared" si="20"/>
        <v>0.2453364447551728</v>
      </c>
      <c r="K231" s="4">
        <f t="shared" si="21"/>
        <v>0.48743100167425507</v>
      </c>
      <c r="L231" s="4">
        <f t="shared" si="22"/>
        <v>1.4246397240065354</v>
      </c>
      <c r="M231" s="4">
        <f t="shared" si="24"/>
        <v>60.50000000000029</v>
      </c>
      <c r="N231" s="4">
        <f t="shared" si="23"/>
        <v>6.528925619834631</v>
      </c>
    </row>
    <row r="232" spans="9:14" ht="12.75">
      <c r="I232" s="9"/>
      <c r="J232" s="4">
        <f t="shared" si="20"/>
        <v>0.2479428733149488</v>
      </c>
      <c r="K232" s="4">
        <f t="shared" si="21"/>
        <v>0.4912863638306208</v>
      </c>
      <c r="L232" s="4">
        <f t="shared" si="22"/>
        <v>1.4316974710272334</v>
      </c>
      <c r="M232" s="4">
        <f t="shared" si="24"/>
        <v>60.60000000000029</v>
      </c>
      <c r="N232" s="4">
        <f t="shared" si="23"/>
        <v>6.501650165016422</v>
      </c>
    </row>
    <row r="233" spans="9:14" ht="12.75">
      <c r="I233" s="9"/>
      <c r="J233" s="4">
        <f t="shared" si="20"/>
        <v>0.25056259423372806</v>
      </c>
      <c r="K233" s="4">
        <f t="shared" si="21"/>
        <v>0.4951555943486697</v>
      </c>
      <c r="L233" s="4">
        <f t="shared" si="22"/>
        <v>1.4387673673990782</v>
      </c>
      <c r="M233" s="4">
        <f t="shared" si="24"/>
        <v>60.700000000000294</v>
      </c>
      <c r="N233" s="4">
        <f t="shared" si="23"/>
        <v>6.474464579901074</v>
      </c>
    </row>
    <row r="234" spans="9:14" ht="12.75">
      <c r="I234" s="9"/>
      <c r="J234" s="4">
        <f t="shared" si="20"/>
        <v>0.2531956146226326</v>
      </c>
      <c r="K234" s="4">
        <f t="shared" si="21"/>
        <v>0.499038696338755</v>
      </c>
      <c r="L234" s="4">
        <f t="shared" si="22"/>
        <v>1.445849401394751</v>
      </c>
      <c r="M234" s="4">
        <f t="shared" si="24"/>
        <v>60.800000000000296</v>
      </c>
      <c r="N234" s="4">
        <f t="shared" si="23"/>
        <v>6.447368421052552</v>
      </c>
    </row>
    <row r="235" spans="9:14" ht="12.75">
      <c r="I235" s="9"/>
      <c r="J235" s="4">
        <f t="shared" si="20"/>
        <v>0.255841941868495</v>
      </c>
      <c r="K235" s="4">
        <f t="shared" si="21"/>
        <v>0.502935673147846</v>
      </c>
      <c r="L235" s="4">
        <f t="shared" si="22"/>
        <v>1.4529435614515651</v>
      </c>
      <c r="M235" s="4">
        <f t="shared" si="24"/>
        <v>60.9000000000003</v>
      </c>
      <c r="N235" s="4">
        <f t="shared" si="23"/>
        <v>6.420361247947376</v>
      </c>
    </row>
    <row r="236" spans="9:14" ht="14.25" customHeight="1">
      <c r="I236" s="9"/>
      <c r="J236" s="4">
        <f t="shared" si="20"/>
        <v>0.2585015836333891</v>
      </c>
      <c r="K236" s="4">
        <f t="shared" si="21"/>
        <v>0.5068465283587466</v>
      </c>
      <c r="L236" s="4">
        <f t="shared" si="22"/>
        <v>1.4600498361703205</v>
      </c>
      <c r="M236" s="4">
        <f t="shared" si="24"/>
        <v>61.0000000000003</v>
      </c>
      <c r="N236" s="4">
        <f t="shared" si="23"/>
        <v>6.39344262295074</v>
      </c>
    </row>
    <row r="237" spans="9:14" ht="14.25" customHeight="1">
      <c r="I237" s="9"/>
      <c r="J237" s="4">
        <f t="shared" si="20"/>
        <v>0.26117454785417477</v>
      </c>
      <c r="K237" s="4">
        <f t="shared" si="21"/>
        <v>0.5107712657893225</v>
      </c>
      <c r="L237" s="4">
        <f t="shared" si="22"/>
        <v>1.4671682143141607</v>
      </c>
      <c r="M237" s="4">
        <f t="shared" si="24"/>
        <v>61.1000000000003</v>
      </c>
      <c r="N237" s="4">
        <f t="shared" si="23"/>
        <v>6.366612111292881</v>
      </c>
    </row>
    <row r="238" spans="9:14" ht="14.25" customHeight="1">
      <c r="I238" s="9"/>
      <c r="J238" s="4">
        <f t="shared" si="20"/>
        <v>0.263860842742061</v>
      </c>
      <c r="K238" s="4">
        <f t="shared" si="21"/>
        <v>0.5147098894917467</v>
      </c>
      <c r="L238" s="4">
        <f t="shared" si="22"/>
        <v>1.4742986848074482</v>
      </c>
      <c r="M238" s="4">
        <f t="shared" si="24"/>
        <v>61.2000000000003</v>
      </c>
      <c r="N238" s="4">
        <f t="shared" si="23"/>
        <v>6.339869281045672</v>
      </c>
    </row>
    <row r="239" spans="9:14" ht="14.25" customHeight="1">
      <c r="I239" s="9"/>
      <c r="J239" s="4">
        <f t="shared" si="20"/>
        <v>0.2665604767821859</v>
      </c>
      <c r="K239" s="4">
        <f t="shared" si="21"/>
        <v>0.5186624037517583</v>
      </c>
      <c r="L239" s="4">
        <f t="shared" si="22"/>
        <v>1.481441236734652</v>
      </c>
      <c r="M239" s="4">
        <f t="shared" si="24"/>
        <v>61.3000000000003</v>
      </c>
      <c r="N239" s="4">
        <f t="shared" si="23"/>
        <v>6.313213703099429</v>
      </c>
    </row>
    <row r="240" spans="9:14" ht="14.25" customHeight="1">
      <c r="I240" s="9"/>
      <c r="J240" s="4">
        <f t="shared" si="20"/>
        <v>0.26927345873320957</v>
      </c>
      <c r="K240" s="4">
        <f t="shared" si="21"/>
        <v>0.5226288130879296</v>
      </c>
      <c r="L240" s="4">
        <f t="shared" si="22"/>
        <v>1.488595859339237</v>
      </c>
      <c r="M240" s="4">
        <f t="shared" si="24"/>
        <v>61.400000000000304</v>
      </c>
      <c r="N240" s="4">
        <f t="shared" si="23"/>
        <v>6.286644951139984</v>
      </c>
    </row>
    <row r="241" spans="9:14" ht="20.25" customHeight="1">
      <c r="I241" s="9"/>
      <c r="J241" s="4">
        <f t="shared" si="20"/>
        <v>0.2719997976269267</v>
      </c>
      <c r="K241" s="4">
        <f t="shared" si="21"/>
        <v>0.5266091222509546</v>
      </c>
      <c r="L241" s="4">
        <f t="shared" si="22"/>
        <v>1.4957625420225769</v>
      </c>
      <c r="M241" s="4">
        <f t="shared" si="24"/>
        <v>61.500000000000306</v>
      </c>
      <c r="N241" s="4">
        <f t="shared" si="23"/>
        <v>6.260162601625936</v>
      </c>
    </row>
    <row r="242" spans="10:14" ht="14.25" customHeight="1">
      <c r="J242" s="4">
        <f t="shared" si="20"/>
        <v>0.2747395027678942</v>
      </c>
      <c r="K242" s="4">
        <f t="shared" si="21"/>
        <v>0.5306033362229449</v>
      </c>
      <c r="L242" s="4">
        <f t="shared" si="22"/>
        <v>1.5029412743428718</v>
      </c>
      <c r="M242" s="4">
        <f t="shared" si="24"/>
        <v>61.60000000000031</v>
      </c>
      <c r="N242" s="4">
        <f t="shared" si="23"/>
        <v>6.233766233766154</v>
      </c>
    </row>
    <row r="243" spans="10:14" ht="14.25" customHeight="1">
      <c r="J243" s="4">
        <f t="shared" si="20"/>
        <v>0.27749258373307406</v>
      </c>
      <c r="K243" s="4">
        <f t="shared" si="21"/>
        <v>0.5346114602167414</v>
      </c>
      <c r="L243" s="4">
        <f t="shared" si="22"/>
        <v>1.5101320460140772</v>
      </c>
      <c r="M243" s="4">
        <f t="shared" si="24"/>
        <v>61.70000000000031</v>
      </c>
      <c r="N243" s="4">
        <f t="shared" si="23"/>
        <v>6.2074554294974895</v>
      </c>
    </row>
    <row r="244" spans="10:14" ht="14.25" customHeight="1">
      <c r="J244" s="4">
        <f t="shared" si="20"/>
        <v>0.2802590503714924</v>
      </c>
      <c r="K244" s="4">
        <f t="shared" si="21"/>
        <v>0.5386334996752387</v>
      </c>
      <c r="L244" s="4">
        <f t="shared" si="22"/>
        <v>1.517334846904844</v>
      </c>
      <c r="M244" s="4">
        <f t="shared" si="24"/>
        <v>61.80000000000031</v>
      </c>
      <c r="N244" s="4">
        <f t="shared" si="23"/>
        <v>6.181229773462704</v>
      </c>
    </row>
    <row r="245" spans="10:14" ht="14.25" customHeight="1">
      <c r="J245" s="4">
        <f t="shared" si="20"/>
        <v>0.28303891280391547</v>
      </c>
      <c r="K245" s="4">
        <f t="shared" si="21"/>
        <v>0.5426694602707218</v>
      </c>
      <c r="L245" s="4">
        <f t="shared" si="22"/>
        <v>1.5245496670374719</v>
      </c>
      <c r="M245" s="4">
        <f t="shared" si="24"/>
        <v>61.90000000000031</v>
      </c>
      <c r="N245" s="4">
        <f t="shared" si="23"/>
        <v>6.155088852988609</v>
      </c>
    </row>
    <row r="246" spans="10:14" ht="14.25" customHeight="1">
      <c r="J246" s="4">
        <f t="shared" si="20"/>
        <v>0.2858321814225388</v>
      </c>
      <c r="K246" s="4">
        <f t="shared" si="21"/>
        <v>0.5467193479042156</v>
      </c>
      <c r="L246" s="4">
        <f t="shared" si="22"/>
        <v>1.531776496586868</v>
      </c>
      <c r="M246" s="4">
        <f t="shared" si="24"/>
        <v>62.00000000000031</v>
      </c>
      <c r="N246" s="4">
        <f t="shared" si="23"/>
        <v>6.129032258064434</v>
      </c>
    </row>
    <row r="247" spans="10:14" ht="14.25" customHeight="1">
      <c r="J247" s="4">
        <f aca="true" t="shared" si="25" ref="J247:J310">IF(D$2&gt;0.2*($N247),(D$2-0.2*($N247))^2/(D$2+0.8*($N247)),0)</f>
        <v>0.28863886689069634</v>
      </c>
      <c r="K247" s="4">
        <f aca="true" t="shared" si="26" ref="K247:K310">IF(E$2&gt;0.2*($N247),(E$2-0.2*($N247))^2/(E$2+0.8*($N247)),0)</f>
        <v>0.5507831687048511</v>
      </c>
      <c r="L247" s="4">
        <f aca="true" t="shared" si="27" ref="L247:L310">IF(F$2&gt;0.2*($N247),(F$2-0.2*($N247))^2/(F$2+0.8*($N247)),0)</f>
        <v>1.539015325879525</v>
      </c>
      <c r="M247" s="4">
        <f t="shared" si="24"/>
        <v>62.100000000000314</v>
      </c>
      <c r="N247" s="4">
        <f aca="true" t="shared" si="28" ref="N247:N310">IF(M247&gt;0,1000/M247-10,1000)</f>
        <v>6.10305958132037</v>
      </c>
    </row>
    <row r="248" spans="10:14" ht="14.25" customHeight="1">
      <c r="J248" s="4">
        <f t="shared" si="25"/>
        <v>0.2914589801425807</v>
      </c>
      <c r="K248" s="4">
        <f t="shared" si="26"/>
        <v>0.5548609290292378</v>
      </c>
      <c r="L248" s="4">
        <f t="shared" si="27"/>
        <v>1.5462661453925</v>
      </c>
      <c r="M248" s="4">
        <f aca="true" t="shared" si="29" ref="M248:M311">M247+0.1</f>
        <v>62.200000000000315</v>
      </c>
      <c r="N248" s="4">
        <f t="shared" si="28"/>
        <v>6.07717041800635</v>
      </c>
    </row>
    <row r="249" spans="8:14" ht="14.25" customHeight="1">
      <c r="H249" s="4"/>
      <c r="J249" s="4">
        <f t="shared" si="25"/>
        <v>0.29429253238298153</v>
      </c>
      <c r="K249" s="4">
        <f t="shared" si="26"/>
        <v>0.5589526354608537</v>
      </c>
      <c r="L249" s="4">
        <f t="shared" si="27"/>
        <v>1.55352894575241</v>
      </c>
      <c r="M249" s="4">
        <f t="shared" si="29"/>
        <v>62.30000000000032</v>
      </c>
      <c r="N249" s="4">
        <f t="shared" si="28"/>
        <v>6.0513643659710254</v>
      </c>
    </row>
    <row r="250" spans="8:14" ht="12.75">
      <c r="H250" s="4"/>
      <c r="J250" s="4">
        <f t="shared" si="25"/>
        <v>0.2971395350870382</v>
      </c>
      <c r="K250" s="4">
        <f t="shared" si="26"/>
        <v>0.5630582948094455</v>
      </c>
      <c r="L250" s="4">
        <f t="shared" si="27"/>
        <v>1.560803717734434</v>
      </c>
      <c r="M250" s="4">
        <f t="shared" si="29"/>
        <v>62.40000000000032</v>
      </c>
      <c r="N250" s="4">
        <f t="shared" si="28"/>
        <v>6.025641025640944</v>
      </c>
    </row>
    <row r="251" spans="8:14" ht="12.75">
      <c r="H251" s="4"/>
      <c r="J251" s="4">
        <f t="shared" si="25"/>
        <v>0.30000000000000915</v>
      </c>
      <c r="K251" s="4">
        <f t="shared" si="26"/>
        <v>0.5671779141104427</v>
      </c>
      <c r="L251" s="4">
        <f t="shared" si="27"/>
        <v>1.56809045226133</v>
      </c>
      <c r="M251" s="4">
        <f t="shared" si="29"/>
        <v>62.50000000000032</v>
      </c>
      <c r="N251" s="4">
        <f t="shared" si="28"/>
        <v>5.999999999999918</v>
      </c>
    </row>
    <row r="252" spans="8:14" ht="12.75">
      <c r="H252" s="4"/>
      <c r="J252" s="4">
        <f t="shared" si="25"/>
        <v>0.30287393913705507</v>
      </c>
      <c r="K252" s="4">
        <f t="shared" si="26"/>
        <v>0.5713115006243823</v>
      </c>
      <c r="L252" s="4">
        <f t="shared" si="27"/>
        <v>1.5753891404024554</v>
      </c>
      <c r="M252" s="4">
        <f t="shared" si="29"/>
        <v>62.60000000000032</v>
      </c>
      <c r="N252" s="4">
        <f t="shared" si="28"/>
        <v>5.974440894568609</v>
      </c>
    </row>
    <row r="253" spans="8:14" ht="12.75">
      <c r="H253" s="4"/>
      <c r="J253" s="4">
        <f t="shared" si="25"/>
        <v>0.30576136478303817</v>
      </c>
      <c r="K253" s="4">
        <f t="shared" si="26"/>
        <v>0.5754590618363472</v>
      </c>
      <c r="L253" s="4">
        <f t="shared" si="27"/>
        <v>1.582699773372803</v>
      </c>
      <c r="M253" s="4">
        <f t="shared" si="29"/>
        <v>62.70000000000032</v>
      </c>
      <c r="N253" s="4">
        <f t="shared" si="28"/>
        <v>5.948963317384289</v>
      </c>
    </row>
    <row r="254" spans="8:14" ht="12.75">
      <c r="H254" s="4"/>
      <c r="J254" s="4">
        <f t="shared" si="25"/>
        <v>0.3086622894923369</v>
      </c>
      <c r="K254" s="4">
        <f t="shared" si="26"/>
        <v>0.5796206054554165</v>
      </c>
      <c r="L254" s="4">
        <f t="shared" si="27"/>
        <v>1.590022342532045</v>
      </c>
      <c r="M254" s="4">
        <f t="shared" si="29"/>
        <v>62.800000000000324</v>
      </c>
      <c r="N254" s="4">
        <f t="shared" si="28"/>
        <v>5.923566878980809</v>
      </c>
    </row>
    <row r="255" spans="8:14" ht="12.75">
      <c r="H255" s="4"/>
      <c r="J255" s="4">
        <f t="shared" si="25"/>
        <v>0.31157672608867415</v>
      </c>
      <c r="K255" s="4">
        <f t="shared" si="26"/>
        <v>0.5837961394141267</v>
      </c>
      <c r="L255" s="4">
        <f t="shared" si="27"/>
        <v>1.5973568393835833</v>
      </c>
      <c r="M255" s="4">
        <f t="shared" si="29"/>
        <v>62.900000000000325</v>
      </c>
      <c r="N255" s="4">
        <f t="shared" si="28"/>
        <v>5.8982511923687575</v>
      </c>
    </row>
    <row r="256" spans="8:14" ht="12.75">
      <c r="H256" s="4"/>
      <c r="J256" s="4">
        <f t="shared" si="25"/>
        <v>0.3145046876649634</v>
      </c>
      <c r="K256" s="4">
        <f t="shared" si="26"/>
        <v>0.5879856718679459</v>
      </c>
      <c r="L256" s="4">
        <f t="shared" si="27"/>
        <v>1.604703255573616</v>
      </c>
      <c r="M256" s="4">
        <f t="shared" si="29"/>
        <v>63.00000000000033</v>
      </c>
      <c r="N256" s="4">
        <f t="shared" si="28"/>
        <v>5.87301587301579</v>
      </c>
    </row>
    <row r="257" spans="8:14" ht="12.75">
      <c r="H257" s="4"/>
      <c r="J257" s="4">
        <f t="shared" si="25"/>
        <v>0.3174461875831666</v>
      </c>
      <c r="K257" s="4">
        <f t="shared" si="26"/>
        <v>0.5921892111947599</v>
      </c>
      <c r="L257" s="4">
        <f t="shared" si="27"/>
        <v>1.6120615828902074</v>
      </c>
      <c r="M257" s="4">
        <f t="shared" si="29"/>
        <v>63.10000000000033</v>
      </c>
      <c r="N257" s="4">
        <f t="shared" si="28"/>
        <v>5.847860538827176</v>
      </c>
    </row>
    <row r="258" spans="8:14" ht="12.75">
      <c r="H258" s="4"/>
      <c r="J258" s="4">
        <f t="shared" si="25"/>
        <v>0.3204012394741696</v>
      </c>
      <c r="K258" s="4">
        <f t="shared" si="26"/>
        <v>0.5964067659943697</v>
      </c>
      <c r="L258" s="4">
        <f t="shared" si="27"/>
        <v>1.6194318132623708</v>
      </c>
      <c r="M258" s="4">
        <f t="shared" si="29"/>
        <v>63.20000000000033</v>
      </c>
      <c r="N258" s="4">
        <f t="shared" si="28"/>
        <v>5.8227848101265</v>
      </c>
    </row>
    <row r="259" spans="8:14" ht="12.75">
      <c r="H259" s="4"/>
      <c r="J259" s="4">
        <f t="shared" si="25"/>
        <v>0.3233698572376712</v>
      </c>
      <c r="K259" s="4">
        <f t="shared" si="26"/>
        <v>0.600638345088001</v>
      </c>
      <c r="L259" s="4">
        <f t="shared" si="27"/>
        <v>1.6268139387591596</v>
      </c>
      <c r="M259" s="4">
        <f t="shared" si="29"/>
        <v>63.30000000000033</v>
      </c>
      <c r="N259" s="4">
        <f t="shared" si="28"/>
        <v>5.797788309636568</v>
      </c>
    </row>
    <row r="260" spans="8:14" ht="12.75">
      <c r="H260" s="4"/>
      <c r="J260" s="4">
        <f t="shared" si="25"/>
        <v>0.3263520550420865</v>
      </c>
      <c r="K260" s="4">
        <f t="shared" si="26"/>
        <v>0.6048839575178245</v>
      </c>
      <c r="L260" s="4">
        <f t="shared" si="27"/>
        <v>1.6342079515887646</v>
      </c>
      <c r="M260" s="4">
        <f t="shared" si="29"/>
        <v>63.40000000000033</v>
      </c>
      <c r="N260" s="4">
        <f t="shared" si="28"/>
        <v>5.772870662460486</v>
      </c>
    </row>
    <row r="261" spans="8:14" ht="12.75">
      <c r="H261" s="4"/>
      <c r="J261" s="4">
        <f t="shared" si="25"/>
        <v>0.3293478473244672</v>
      </c>
      <c r="K261" s="4">
        <f t="shared" si="26"/>
        <v>0.6091436125464895</v>
      </c>
      <c r="L261" s="4">
        <f t="shared" si="27"/>
        <v>1.6416138440976296</v>
      </c>
      <c r="M261" s="4">
        <f t="shared" si="29"/>
        <v>63.500000000000334</v>
      </c>
      <c r="N261" s="4">
        <f t="shared" si="28"/>
        <v>5.748031496062909</v>
      </c>
    </row>
    <row r="262" spans="8:14" ht="21" customHeight="1">
      <c r="H262" s="4"/>
      <c r="J262" s="4">
        <f t="shared" si="25"/>
        <v>0.3323572487904337</v>
      </c>
      <c r="K262" s="4">
        <f t="shared" si="26"/>
        <v>0.6134173196566652</v>
      </c>
      <c r="L262" s="4">
        <f t="shared" si="27"/>
        <v>1.6490316087695613</v>
      </c>
      <c r="M262" s="4">
        <f t="shared" si="29"/>
        <v>63.600000000000335</v>
      </c>
      <c r="N262" s="4">
        <f t="shared" si="28"/>
        <v>5.72327044025149</v>
      </c>
    </row>
    <row r="263" spans="10:14" ht="21" customHeight="1">
      <c r="J263" s="4">
        <f t="shared" si="25"/>
        <v>0.3353802744141245</v>
      </c>
      <c r="K263" s="4">
        <f t="shared" si="26"/>
        <v>0.6177050885506001</v>
      </c>
      <c r="L263" s="4">
        <f t="shared" si="27"/>
        <v>1.6564612382248634</v>
      </c>
      <c r="M263" s="4">
        <f t="shared" si="29"/>
        <v>63.70000000000034</v>
      </c>
      <c r="N263" s="4">
        <f t="shared" si="28"/>
        <v>5.698587127158472</v>
      </c>
    </row>
    <row r="264" spans="10:14" ht="21" customHeight="1">
      <c r="J264" s="4">
        <f t="shared" si="25"/>
        <v>0.33841693943815787</v>
      </c>
      <c r="K264" s="4">
        <f t="shared" si="26"/>
        <v>0.6220069291496835</v>
      </c>
      <c r="L264" s="4">
        <f t="shared" si="27"/>
        <v>1.663902725219468</v>
      </c>
      <c r="M264" s="4">
        <f t="shared" si="29"/>
        <v>63.80000000000034</v>
      </c>
      <c r="N264" s="4">
        <f t="shared" si="28"/>
        <v>5.673981191222488</v>
      </c>
    </row>
    <row r="265" spans="10:14" ht="21" customHeight="1">
      <c r="J265" s="4">
        <f t="shared" si="25"/>
        <v>0.341467259373611</v>
      </c>
      <c r="K265" s="4">
        <f t="shared" si="26"/>
        <v>0.6263228515940272</v>
      </c>
      <c r="L265" s="4">
        <f t="shared" si="27"/>
        <v>1.6713560626440829</v>
      </c>
      <c r="M265" s="4">
        <f t="shared" si="29"/>
        <v>63.90000000000034</v>
      </c>
      <c r="N265" s="4">
        <f t="shared" si="28"/>
        <v>5.649452269170496</v>
      </c>
    </row>
    <row r="266" spans="10:14" ht="14.25" customHeight="1">
      <c r="J266" s="4">
        <f t="shared" si="25"/>
        <v>0.34453125000001056</v>
      </c>
      <c r="K266" s="4">
        <f t="shared" si="26"/>
        <v>0.6306528662420529</v>
      </c>
      <c r="L266" s="4">
        <f t="shared" si="27"/>
        <v>1.6788212435233416</v>
      </c>
      <c r="M266" s="4">
        <f t="shared" si="29"/>
        <v>64.00000000000034</v>
      </c>
      <c r="N266" s="4">
        <f t="shared" si="28"/>
        <v>5.6249999999999165</v>
      </c>
    </row>
    <row r="267" spans="10:14" ht="12.75">
      <c r="J267" s="4">
        <f t="shared" si="25"/>
        <v>0.34760892736533927</v>
      </c>
      <c r="K267" s="4">
        <f t="shared" si="26"/>
        <v>0.6349969836700913</v>
      </c>
      <c r="L267" s="4">
        <f t="shared" si="27"/>
        <v>1.6862982610149686</v>
      </c>
      <c r="M267" s="4">
        <f t="shared" si="29"/>
        <v>64.10000000000034</v>
      </c>
      <c r="N267" s="4">
        <f t="shared" si="28"/>
        <v>5.600624024960917</v>
      </c>
    </row>
    <row r="268" spans="10:14" ht="12.75">
      <c r="J268" s="4">
        <f t="shared" si="25"/>
        <v>0.35070030778605815</v>
      </c>
      <c r="K268" s="4">
        <f t="shared" si="26"/>
        <v>0.6393552146719942</v>
      </c>
      <c r="L268" s="4">
        <f t="shared" si="27"/>
        <v>1.6937871084089482</v>
      </c>
      <c r="M268" s="4">
        <f t="shared" si="29"/>
        <v>64.20000000000033</v>
      </c>
      <c r="N268" s="4">
        <f t="shared" si="28"/>
        <v>5.57632398753886</v>
      </c>
    </row>
    <row r="269" spans="10:14" ht="12.75" customHeight="1">
      <c r="J269" s="4">
        <f t="shared" si="25"/>
        <v>0.3538054078471401</v>
      </c>
      <c r="K269" s="4">
        <f t="shared" si="26"/>
        <v>0.6437275702587553</v>
      </c>
      <c r="L269" s="4">
        <f t="shared" si="27"/>
        <v>1.7012877791266987</v>
      </c>
      <c r="M269" s="4">
        <f t="shared" si="29"/>
        <v>64.30000000000032</v>
      </c>
      <c r="N269" s="4">
        <f t="shared" si="28"/>
        <v>5.552099533436936</v>
      </c>
    </row>
    <row r="270" spans="10:14" ht="12.75" customHeight="1">
      <c r="J270" s="4">
        <f t="shared" si="25"/>
        <v>0.3569242444021209</v>
      </c>
      <c r="K270" s="4">
        <f t="shared" si="26"/>
        <v>0.6481140616581437</v>
      </c>
      <c r="L270" s="4">
        <f t="shared" si="27"/>
        <v>1.7088002667202657</v>
      </c>
      <c r="M270" s="4">
        <f t="shared" si="29"/>
        <v>64.40000000000032</v>
      </c>
      <c r="N270" s="4">
        <f t="shared" si="28"/>
        <v>5.52795031055893</v>
      </c>
    </row>
    <row r="271" spans="10:14" ht="12.75" customHeight="1">
      <c r="J271" s="4">
        <f t="shared" si="25"/>
        <v>0.3600568345731627</v>
      </c>
      <c r="K271" s="4">
        <f t="shared" si="26"/>
        <v>0.6525147003143467</v>
      </c>
      <c r="L271" s="4">
        <f t="shared" si="27"/>
        <v>1.7163245648715133</v>
      </c>
      <c r="M271" s="4">
        <f t="shared" si="29"/>
        <v>64.50000000000031</v>
      </c>
      <c r="N271" s="4">
        <f t="shared" si="28"/>
        <v>5.503875968992173</v>
      </c>
    </row>
    <row r="272" spans="10:14" ht="12.75">
      <c r="J272" s="4">
        <f t="shared" si="25"/>
        <v>0.3632031957511318</v>
      </c>
      <c r="K272" s="4">
        <f t="shared" si="26"/>
        <v>0.6569294978876227</v>
      </c>
      <c r="L272" s="4">
        <f t="shared" si="27"/>
        <v>1.7238606673913246</v>
      </c>
      <c r="M272" s="4">
        <f t="shared" si="29"/>
        <v>64.6000000000003</v>
      </c>
      <c r="N272" s="4">
        <f t="shared" si="28"/>
        <v>5.479876160990639</v>
      </c>
    </row>
    <row r="273" spans="10:14" ht="12.75">
      <c r="J273" s="4">
        <f t="shared" si="25"/>
        <v>0.3663633455956925</v>
      </c>
      <c r="K273" s="4">
        <f t="shared" si="26"/>
        <v>0.6613584662539692</v>
      </c>
      <c r="L273" s="4">
        <f t="shared" si="27"/>
        <v>1.731408568218817</v>
      </c>
      <c r="M273" s="4">
        <f t="shared" si="29"/>
        <v>64.7000000000003</v>
      </c>
      <c r="N273" s="4">
        <f t="shared" si="28"/>
        <v>5.455950540958197</v>
      </c>
    </row>
    <row r="274" spans="10:14" ht="12.75">
      <c r="J274" s="4">
        <f t="shared" si="25"/>
        <v>0.36953730203541324</v>
      </c>
      <c r="K274" s="4">
        <f t="shared" si="26"/>
        <v>0.6658016175047938</v>
      </c>
      <c r="L274" s="4">
        <f t="shared" si="27"/>
        <v>1.7389682614205582</v>
      </c>
      <c r="M274" s="4">
        <f t="shared" si="29"/>
        <v>64.8000000000003</v>
      </c>
      <c r="N274" s="4">
        <f t="shared" si="28"/>
        <v>5.432098765432029</v>
      </c>
    </row>
    <row r="275" spans="10:14" ht="12.75">
      <c r="J275" s="4">
        <f t="shared" si="25"/>
        <v>0.37272508326788706</v>
      </c>
      <c r="K275" s="4">
        <f t="shared" si="26"/>
        <v>0.670258963946603</v>
      </c>
      <c r="L275" s="4">
        <f t="shared" si="27"/>
        <v>1.7465397411897923</v>
      </c>
      <c r="M275" s="4">
        <f t="shared" si="29"/>
        <v>64.90000000000029</v>
      </c>
      <c r="N275" s="4">
        <f t="shared" si="28"/>
        <v>5.408320493066187</v>
      </c>
    </row>
    <row r="276" spans="10:14" ht="12.75">
      <c r="J276" s="4">
        <f t="shared" si="25"/>
        <v>0.37592670775986725</v>
      </c>
      <c r="K276" s="4">
        <f t="shared" si="26"/>
        <v>0.6747305181006964</v>
      </c>
      <c r="L276" s="4">
        <f t="shared" si="27"/>
        <v>1.754123001845675</v>
      </c>
      <c r="M276" s="4">
        <f t="shared" si="29"/>
        <v>65.00000000000028</v>
      </c>
      <c r="N276" s="4">
        <f t="shared" si="28"/>
        <v>5.3846153846153175</v>
      </c>
    </row>
    <row r="277" spans="10:14" ht="12.75">
      <c r="J277" s="4">
        <f t="shared" si="25"/>
        <v>0.3791421942474177</v>
      </c>
      <c r="K277" s="4">
        <f t="shared" si="26"/>
        <v>0.6792162927028762</v>
      </c>
      <c r="L277" s="4">
        <f t="shared" si="27"/>
        <v>1.7617180378325157</v>
      </c>
      <c r="M277" s="4">
        <f t="shared" si="29"/>
        <v>65.10000000000028</v>
      </c>
      <c r="N277" s="4">
        <f t="shared" si="28"/>
        <v>5.360983102918521</v>
      </c>
    </row>
    <row r="278" spans="10:14" ht="12.75">
      <c r="J278" s="4">
        <f t="shared" si="25"/>
        <v>0.38237156173607384</v>
      </c>
      <c r="K278" s="4">
        <f t="shared" si="26"/>
        <v>0.683716300703159</v>
      </c>
      <c r="L278" s="4">
        <f t="shared" si="27"/>
        <v>1.7693248437190239</v>
      </c>
      <c r="M278" s="4">
        <f t="shared" si="29"/>
        <v>65.20000000000027</v>
      </c>
      <c r="N278" s="4">
        <f t="shared" si="28"/>
        <v>5.337423312883372</v>
      </c>
    </row>
    <row r="279" spans="10:14" ht="12.75">
      <c r="J279" s="4">
        <f t="shared" si="25"/>
        <v>0.38561482950102327</v>
      </c>
      <c r="K279" s="4">
        <f t="shared" si="26"/>
        <v>0.6882305552655087</v>
      </c>
      <c r="L279" s="4">
        <f t="shared" si="27"/>
        <v>1.7769434141975715</v>
      </c>
      <c r="M279" s="4">
        <f t="shared" si="29"/>
        <v>65.30000000000027</v>
      </c>
      <c r="N279" s="4">
        <f t="shared" si="28"/>
        <v>5.313935681470076</v>
      </c>
    </row>
    <row r="280" spans="10:14" ht="12.75">
      <c r="J280" s="4">
        <f t="shared" si="25"/>
        <v>0.38887201708729424</v>
      </c>
      <c r="K280" s="4">
        <f t="shared" si="26"/>
        <v>0.6927590697675683</v>
      </c>
      <c r="L280" s="4">
        <f t="shared" si="27"/>
        <v>1.7845737440834504</v>
      </c>
      <c r="M280" s="4">
        <f t="shared" si="29"/>
        <v>65.40000000000026</v>
      </c>
      <c r="N280" s="4">
        <f t="shared" si="28"/>
        <v>5.290519877675781</v>
      </c>
    </row>
    <row r="281" spans="10:14" ht="12.75">
      <c r="J281" s="4">
        <f t="shared" si="25"/>
        <v>0.39214314430996405</v>
      </c>
      <c r="K281" s="4">
        <f t="shared" si="26"/>
        <v>0.6973018578004122</v>
      </c>
      <c r="L281" s="4">
        <f t="shared" si="27"/>
        <v>1.7922158283141494</v>
      </c>
      <c r="M281" s="4">
        <f t="shared" si="29"/>
        <v>65.50000000000026</v>
      </c>
      <c r="N281" s="4">
        <f t="shared" si="28"/>
        <v>5.267175572519024</v>
      </c>
    </row>
    <row r="282" spans="8:14" ht="12.75">
      <c r="H282" s="4"/>
      <c r="J282" s="4">
        <f t="shared" si="25"/>
        <v>0.3954282312543761</v>
      </c>
      <c r="K282" s="4">
        <f t="shared" si="26"/>
        <v>0.7018589331682993</v>
      </c>
      <c r="L282" s="4">
        <f t="shared" si="27"/>
        <v>1.7998696619486292</v>
      </c>
      <c r="M282" s="4">
        <f t="shared" si="29"/>
        <v>65.60000000000025</v>
      </c>
      <c r="N282" s="4">
        <f t="shared" si="28"/>
        <v>5.243902439024332</v>
      </c>
    </row>
    <row r="283" spans="8:14" ht="12.75">
      <c r="H283" s="4"/>
      <c r="J283" s="4">
        <f t="shared" si="25"/>
        <v>0.3987272982763756</v>
      </c>
      <c r="K283" s="4">
        <f t="shared" si="26"/>
        <v>0.706430309888443</v>
      </c>
      <c r="L283" s="4">
        <f t="shared" si="27"/>
        <v>1.8075352401666112</v>
      </c>
      <c r="M283" s="4">
        <f t="shared" si="29"/>
        <v>65.70000000000024</v>
      </c>
      <c r="N283" s="4">
        <f t="shared" si="28"/>
        <v>5.220700152206945</v>
      </c>
    </row>
    <row r="284" spans="8:14" ht="12.75">
      <c r="H284" s="4"/>
      <c r="J284" s="4">
        <f t="shared" si="25"/>
        <v>0.40204036600255655</v>
      </c>
      <c r="K284" s="4">
        <f t="shared" si="26"/>
        <v>0.7110160021907889</v>
      </c>
      <c r="L284" s="4">
        <f t="shared" si="27"/>
        <v>1.8152125582678686</v>
      </c>
      <c r="M284" s="4">
        <f t="shared" si="29"/>
        <v>65.80000000000024</v>
      </c>
      <c r="N284" s="4">
        <f t="shared" si="28"/>
        <v>5.197568389057695</v>
      </c>
    </row>
    <row r="285" spans="8:14" ht="12.75">
      <c r="H285" s="4"/>
      <c r="J285" s="4">
        <f t="shared" si="25"/>
        <v>0.40536745533052254</v>
      </c>
      <c r="K285" s="4">
        <f t="shared" si="26"/>
        <v>0.7156160245178006</v>
      </c>
      <c r="L285" s="4">
        <f t="shared" si="27"/>
        <v>1.8229016116715273</v>
      </c>
      <c r="M285" s="4">
        <f t="shared" si="29"/>
        <v>65.90000000000023</v>
      </c>
      <c r="N285" s="4">
        <f t="shared" si="28"/>
        <v>5.174506828528019</v>
      </c>
    </row>
    <row r="286" spans="8:14" ht="12.75">
      <c r="H286" s="4"/>
      <c r="J286" s="4">
        <f t="shared" si="25"/>
        <v>0.40870858742916377</v>
      </c>
      <c r="K286" s="4">
        <f t="shared" si="26"/>
        <v>0.7202303915242572</v>
      </c>
      <c r="L286" s="4">
        <f t="shared" si="27"/>
        <v>1.8306023959153732</v>
      </c>
      <c r="M286" s="4">
        <f t="shared" si="29"/>
        <v>66.00000000000023</v>
      </c>
      <c r="N286" s="4">
        <f t="shared" si="28"/>
        <v>5.151515151515099</v>
      </c>
    </row>
    <row r="287" spans="8:14" ht="12.75">
      <c r="H287" s="4"/>
      <c r="J287" s="4">
        <f t="shared" si="25"/>
        <v>0.4120637837389451</v>
      </c>
      <c r="K287" s="4">
        <f t="shared" si="26"/>
        <v>0.7248591180770612</v>
      </c>
      <c r="L287" s="4">
        <f t="shared" si="27"/>
        <v>1.8383149066551647</v>
      </c>
      <c r="M287" s="4">
        <f t="shared" si="29"/>
        <v>66.10000000000022</v>
      </c>
      <c r="N287" s="4">
        <f t="shared" si="28"/>
        <v>5.12859304084715</v>
      </c>
    </row>
    <row r="288" spans="8:14" ht="12.75">
      <c r="H288" s="4"/>
      <c r="J288" s="4">
        <f t="shared" si="25"/>
        <v>0.4154330659722103</v>
      </c>
      <c r="K288" s="4">
        <f t="shared" si="26"/>
        <v>0.7295022192550545</v>
      </c>
      <c r="L288" s="4">
        <f t="shared" si="27"/>
        <v>1.846039139663955</v>
      </c>
      <c r="M288" s="4">
        <f t="shared" si="29"/>
        <v>66.20000000000022</v>
      </c>
      <c r="N288" s="4">
        <f t="shared" si="28"/>
        <v>5.105740181268834</v>
      </c>
    </row>
    <row r="289" spans="10:14" ht="12.75">
      <c r="J289" s="4">
        <f t="shared" si="25"/>
        <v>0.4188164561134998</v>
      </c>
      <c r="K289" s="4">
        <f t="shared" si="26"/>
        <v>0.7341597103488448</v>
      </c>
      <c r="L289" s="4">
        <f t="shared" si="27"/>
        <v>1.8537750908314186</v>
      </c>
      <c r="M289" s="4">
        <f t="shared" si="29"/>
        <v>66.30000000000021</v>
      </c>
      <c r="N289" s="4">
        <f t="shared" si="28"/>
        <v>5.082956259426799</v>
      </c>
    </row>
    <row r="290" spans="10:14" ht="12.75">
      <c r="J290" s="4">
        <f t="shared" si="25"/>
        <v>0.42221397641988057</v>
      </c>
      <c r="K290" s="4">
        <f t="shared" si="26"/>
        <v>0.7388316068606415</v>
      </c>
      <c r="L290" s="4">
        <f t="shared" si="27"/>
        <v>1.861522756163185</v>
      </c>
      <c r="M290" s="4">
        <f t="shared" si="29"/>
        <v>66.4000000000002</v>
      </c>
      <c r="N290" s="4">
        <f t="shared" si="28"/>
        <v>5.0602409638553745</v>
      </c>
    </row>
    <row r="291" spans="10:14" ht="12.75">
      <c r="J291" s="4">
        <f t="shared" si="25"/>
        <v>0.42562564942129205</v>
      </c>
      <c r="K291" s="4">
        <f t="shared" si="26"/>
        <v>0.743517924504102</v>
      </c>
      <c r="L291" s="4">
        <f t="shared" si="27"/>
        <v>1.8692821317801804</v>
      </c>
      <c r="M291" s="4">
        <f t="shared" si="29"/>
        <v>66.5000000000002</v>
      </c>
      <c r="N291" s="4">
        <f t="shared" si="28"/>
        <v>5.037593984962362</v>
      </c>
    </row>
    <row r="292" spans="10:14" ht="12.75">
      <c r="J292" s="4">
        <f t="shared" si="25"/>
        <v>0.4290514979209066</v>
      </c>
      <c r="K292" s="4">
        <f t="shared" si="26"/>
        <v>0.7482186792041873</v>
      </c>
      <c r="L292" s="4">
        <f t="shared" si="27"/>
        <v>1.8770532139179765</v>
      </c>
      <c r="M292" s="4">
        <f t="shared" si="29"/>
        <v>66.6000000000002</v>
      </c>
      <c r="N292" s="4">
        <f t="shared" si="28"/>
        <v>5.015015015014971</v>
      </c>
    </row>
    <row r="293" spans="10:14" ht="12.75">
      <c r="J293" s="4">
        <f t="shared" si="25"/>
        <v>0.43249154499549913</v>
      </c>
      <c r="K293" s="4">
        <f t="shared" si="26"/>
        <v>0.752933887097024</v>
      </c>
      <c r="L293" s="4">
        <f t="shared" si="27"/>
        <v>1.8848359989261385</v>
      </c>
      <c r="M293" s="4">
        <f t="shared" si="29"/>
        <v>66.70000000000019</v>
      </c>
      <c r="N293" s="4">
        <f t="shared" si="28"/>
        <v>4.992503748125895</v>
      </c>
    </row>
    <row r="294" spans="10:14" ht="12.75">
      <c r="J294" s="4">
        <f t="shared" si="25"/>
        <v>0.4359458139958374</v>
      </c>
      <c r="K294" s="4">
        <f t="shared" si="26"/>
        <v>0.7576635645297826</v>
      </c>
      <c r="L294" s="4">
        <f t="shared" si="27"/>
        <v>1.892630483267592</v>
      </c>
      <c r="M294" s="4">
        <f t="shared" si="29"/>
        <v>66.80000000000018</v>
      </c>
      <c r="N294" s="4">
        <f t="shared" si="28"/>
        <v>4.97005988023948</v>
      </c>
    </row>
    <row r="295" spans="10:14" ht="12.75">
      <c r="J295" s="4">
        <f t="shared" si="25"/>
        <v>0.4394143285470808</v>
      </c>
      <c r="K295" s="4">
        <f t="shared" si="26"/>
        <v>0.7624077280605576</v>
      </c>
      <c r="L295" s="4">
        <f t="shared" si="27"/>
        <v>1.9004366635179857</v>
      </c>
      <c r="M295" s="4">
        <f t="shared" si="29"/>
        <v>66.90000000000018</v>
      </c>
      <c r="N295" s="4">
        <f t="shared" si="28"/>
        <v>4.9476831091180475</v>
      </c>
    </row>
    <row r="296" spans="10:14" ht="12.75">
      <c r="J296" s="4">
        <f t="shared" si="25"/>
        <v>0.4428971125491955</v>
      </c>
      <c r="K296" s="4">
        <f t="shared" si="26"/>
        <v>0.7671663944582626</v>
      </c>
      <c r="L296" s="4">
        <f t="shared" si="27"/>
        <v>1.9082545363650647</v>
      </c>
      <c r="M296" s="4">
        <f t="shared" si="29"/>
        <v>67.00000000000017</v>
      </c>
      <c r="N296" s="4">
        <f t="shared" si="28"/>
        <v>4.92537313432832</v>
      </c>
    </row>
    <row r="297" spans="10:14" ht="12.75">
      <c r="J297" s="4">
        <f t="shared" si="25"/>
        <v>0.44639419017738197</v>
      </c>
      <c r="K297" s="4">
        <f t="shared" si="26"/>
        <v>0.7719395807025308</v>
      </c>
      <c r="L297" s="4">
        <f t="shared" si="27"/>
        <v>1.9160840986080487</v>
      </c>
      <c r="M297" s="4">
        <f t="shared" si="29"/>
        <v>67.10000000000016</v>
      </c>
      <c r="N297" s="4">
        <f t="shared" si="28"/>
        <v>4.903129657227982</v>
      </c>
    </row>
    <row r="298" spans="10:14" ht="12.75">
      <c r="J298" s="4">
        <f t="shared" si="25"/>
        <v>0.4499055858825202</v>
      </c>
      <c r="K298" s="4">
        <f t="shared" si="26"/>
        <v>0.7767273039836294</v>
      </c>
      <c r="L298" s="4">
        <f t="shared" si="27"/>
        <v>1.9239253471570192</v>
      </c>
      <c r="M298" s="4">
        <f t="shared" si="29"/>
        <v>67.20000000000016</v>
      </c>
      <c r="N298" s="4">
        <f t="shared" si="28"/>
        <v>4.880952380952346</v>
      </c>
    </row>
    <row r="299" spans="10:14" ht="12.75">
      <c r="J299" s="4">
        <f t="shared" si="25"/>
        <v>0.4534313243916219</v>
      </c>
      <c r="K299" s="4">
        <f t="shared" si="26"/>
        <v>0.7815295817023766</v>
      </c>
      <c r="L299" s="4">
        <f t="shared" si="27"/>
        <v>1.9317782790323088</v>
      </c>
      <c r="M299" s="4">
        <f t="shared" si="29"/>
        <v>67.30000000000015</v>
      </c>
      <c r="N299" s="4">
        <f t="shared" si="28"/>
        <v>4.8588410104011555</v>
      </c>
    </row>
    <row r="300" spans="10:14" ht="12.75">
      <c r="J300" s="4">
        <f t="shared" si="25"/>
        <v>0.4569714307083045</v>
      </c>
      <c r="K300" s="4">
        <f t="shared" si="26"/>
        <v>0.7863464314700759</v>
      </c>
      <c r="L300" s="4">
        <f t="shared" si="27"/>
        <v>1.9396428913638992</v>
      </c>
      <c r="M300" s="4">
        <f t="shared" si="29"/>
        <v>67.40000000000015</v>
      </c>
      <c r="N300" s="4">
        <f t="shared" si="28"/>
        <v>4.836795252225487</v>
      </c>
    </row>
    <row r="301" spans="10:14" ht="12.75">
      <c r="J301" s="4">
        <f t="shared" si="25"/>
        <v>0.4605259301132728</v>
      </c>
      <c r="K301" s="4">
        <f t="shared" si="26"/>
        <v>0.7911778711084516</v>
      </c>
      <c r="L301" s="4">
        <f t="shared" si="27"/>
        <v>1.9475191813908244</v>
      </c>
      <c r="M301" s="4">
        <f t="shared" si="29"/>
        <v>67.50000000000014</v>
      </c>
      <c r="N301" s="4">
        <f t="shared" si="28"/>
        <v>4.814814814814783</v>
      </c>
    </row>
    <row r="302" spans="10:14" ht="12.75">
      <c r="J302" s="4">
        <f t="shared" si="25"/>
        <v>0.4640948481648174</v>
      </c>
      <c r="K302" s="4">
        <f t="shared" si="26"/>
        <v>0.7960239186495986</v>
      </c>
      <c r="L302" s="4">
        <f t="shared" si="27"/>
        <v>1.9554071464605784</v>
      </c>
      <c r="M302" s="4">
        <f t="shared" si="29"/>
        <v>67.60000000000014</v>
      </c>
      <c r="N302" s="4">
        <f t="shared" si="28"/>
        <v>4.7928994082839935</v>
      </c>
    </row>
    <row r="303" spans="10:14" ht="12.75">
      <c r="J303" s="4">
        <f t="shared" si="25"/>
        <v>0.46767821069932763</v>
      </c>
      <c r="K303" s="4">
        <f t="shared" si="26"/>
        <v>0.800884592335942</v>
      </c>
      <c r="L303" s="4">
        <f t="shared" si="27"/>
        <v>1.963306784028532</v>
      </c>
      <c r="M303" s="4">
        <f t="shared" si="29"/>
        <v>67.70000000000013</v>
      </c>
      <c r="N303" s="4">
        <f t="shared" si="28"/>
        <v>4.771048744460828</v>
      </c>
    </row>
    <row r="304" spans="10:14" ht="12.75">
      <c r="J304" s="4">
        <f t="shared" si="25"/>
        <v>0.4712760438318166</v>
      </c>
      <c r="K304" s="4">
        <f t="shared" si="26"/>
        <v>0.8057599106201994</v>
      </c>
      <c r="L304" s="4">
        <f t="shared" si="27"/>
        <v>1.9712180916573536</v>
      </c>
      <c r="M304" s="4">
        <f t="shared" si="29"/>
        <v>67.80000000000013</v>
      </c>
      <c r="N304" s="4">
        <f t="shared" si="28"/>
        <v>4.749262536873129</v>
      </c>
    </row>
    <row r="305" spans="10:14" ht="12.75">
      <c r="J305" s="4">
        <f t="shared" si="25"/>
        <v>0.4748883739564606</v>
      </c>
      <c r="K305" s="4">
        <f t="shared" si="26"/>
        <v>0.8106498921653598</v>
      </c>
      <c r="L305" s="4">
        <f t="shared" si="27"/>
        <v>1.9791410670164324</v>
      </c>
      <c r="M305" s="4">
        <f t="shared" si="29"/>
        <v>67.90000000000012</v>
      </c>
      <c r="N305" s="4">
        <f t="shared" si="28"/>
        <v>4.727540500736351</v>
      </c>
    </row>
    <row r="306" spans="10:14" ht="12.75">
      <c r="J306" s="4">
        <f t="shared" si="25"/>
        <v>0.4785152277471538</v>
      </c>
      <c r="K306" s="4">
        <f t="shared" si="26"/>
        <v>0.8155545558446665</v>
      </c>
      <c r="L306" s="4">
        <f t="shared" si="27"/>
        <v>1.9870757078813142</v>
      </c>
      <c r="M306" s="4">
        <f t="shared" si="29"/>
        <v>68.00000000000011</v>
      </c>
      <c r="N306" s="4">
        <f t="shared" si="28"/>
        <v>4.705882352941153</v>
      </c>
    </row>
    <row r="307" spans="10:14" ht="12.75">
      <c r="J307" s="4">
        <f t="shared" si="25"/>
        <v>0.4821566321580758</v>
      </c>
      <c r="K307" s="4">
        <f t="shared" si="26"/>
        <v>0.820473920741612</v>
      </c>
      <c r="L307" s="4">
        <f t="shared" si="27"/>
        <v>1.9950220121331372</v>
      </c>
      <c r="M307" s="4">
        <f t="shared" si="29"/>
        <v>68.10000000000011</v>
      </c>
      <c r="N307" s="4">
        <f t="shared" si="28"/>
        <v>4.684287812041093</v>
      </c>
    </row>
    <row r="308" spans="10:14" ht="12.75">
      <c r="J308" s="4">
        <f t="shared" si="25"/>
        <v>0.4858126144242724</v>
      </c>
      <c r="K308" s="4">
        <f t="shared" si="26"/>
        <v>0.8254080061499394</v>
      </c>
      <c r="L308" s="4">
        <f t="shared" si="27"/>
        <v>2.002979977758076</v>
      </c>
      <c r="M308" s="4">
        <f t="shared" si="29"/>
        <v>68.2000000000001</v>
      </c>
      <c r="N308" s="4">
        <f t="shared" si="28"/>
        <v>4.662756598240447</v>
      </c>
    </row>
    <row r="309" spans="10:14" ht="12.75">
      <c r="J309" s="4">
        <f t="shared" si="25"/>
        <v>0.4894832020622521</v>
      </c>
      <c r="K309" s="4">
        <f t="shared" si="26"/>
        <v>0.8303568315736523</v>
      </c>
      <c r="L309" s="4">
        <f t="shared" si="27"/>
        <v>2.01094960284679</v>
      </c>
      <c r="M309" s="4">
        <f t="shared" si="29"/>
        <v>68.3000000000001</v>
      </c>
      <c r="N309" s="4">
        <f t="shared" si="28"/>
        <v>4.641288433382117</v>
      </c>
    </row>
    <row r="310" spans="10:14" ht="12.75">
      <c r="J310" s="4">
        <f t="shared" si="25"/>
        <v>0.4931684228705962</v>
      </c>
      <c r="K310" s="4">
        <f t="shared" si="26"/>
        <v>0.8353204167270389</v>
      </c>
      <c r="L310" s="4">
        <f t="shared" si="27"/>
        <v>2.0189308855938775</v>
      </c>
      <c r="M310" s="4">
        <f t="shared" si="29"/>
        <v>68.40000000000009</v>
      </c>
      <c r="N310" s="4">
        <f t="shared" si="28"/>
        <v>4.619883040935653</v>
      </c>
    </row>
    <row r="311" spans="10:14" ht="12.75">
      <c r="J311" s="4">
        <f aca="true" t="shared" si="30" ref="J311:J374">IF(D$2&gt;0.2*($N311),(D$2-0.2*($N311))^2/(D$2+0.8*($N311)),0)</f>
        <v>0.4968683049305812</v>
      </c>
      <c r="K311" s="4">
        <f aca="true" t="shared" si="31" ref="K311:K374">IF(E$2&gt;0.2*($N311),(E$2-0.2*($N311))^2/(E$2+0.8*($N311)),0)</f>
        <v>0.8402987815346967</v>
      </c>
      <c r="L311" s="4">
        <f aca="true" t="shared" si="32" ref="L311:L374">IF(F$2&gt;0.2*($N311),(F$2-0.2*($N311))^2/(F$2+0.8*($N311)),0)</f>
        <v>2.026923824297334</v>
      </c>
      <c r="M311" s="4">
        <f t="shared" si="29"/>
        <v>68.50000000000009</v>
      </c>
      <c r="N311" s="4">
        <f aca="true" t="shared" si="33" ref="N311:N374">IF(M311&gt;0,1000/M311-10,1000)</f>
        <v>4.598540145985384</v>
      </c>
    </row>
    <row r="312" spans="10:14" ht="12.75">
      <c r="J312" s="4">
        <f t="shared" si="30"/>
        <v>0.5005828766068182</v>
      </c>
      <c r="K312" s="4">
        <f t="shared" si="31"/>
        <v>0.8452919461315737</v>
      </c>
      <c r="L312" s="4">
        <f t="shared" si="32"/>
        <v>2.034928417358021</v>
      </c>
      <c r="M312" s="4">
        <f aca="true" t="shared" si="34" ref="M312:M375">M311+0.1</f>
        <v>68.60000000000008</v>
      </c>
      <c r="N312" s="4">
        <f t="shared" si="33"/>
        <v>4.577259475218643</v>
      </c>
    </row>
    <row r="313" spans="10:14" ht="12.75">
      <c r="J313" s="4">
        <f t="shared" si="30"/>
        <v>0.5043121665479042</v>
      </c>
      <c r="K313" s="4">
        <f t="shared" si="31"/>
        <v>0.8502999308630129</v>
      </c>
      <c r="L313" s="4">
        <f t="shared" si="32"/>
        <v>2.0429446632791324</v>
      </c>
      <c r="M313" s="4">
        <f t="shared" si="34"/>
        <v>68.70000000000007</v>
      </c>
      <c r="N313" s="4">
        <f t="shared" si="33"/>
        <v>4.556040756914104</v>
      </c>
    </row>
    <row r="314" spans="10:14" ht="12.75">
      <c r="J314" s="4">
        <f t="shared" si="30"/>
        <v>0.5080562036870876</v>
      </c>
      <c r="K314" s="4">
        <f t="shared" si="31"/>
        <v>0.8553227562848087</v>
      </c>
      <c r="L314" s="4">
        <f t="shared" si="32"/>
        <v>2.0509725606656724</v>
      </c>
      <c r="M314" s="4">
        <f t="shared" si="34"/>
        <v>68.80000000000007</v>
      </c>
      <c r="N314" s="4">
        <f t="shared" si="33"/>
        <v>4.5348837209302175</v>
      </c>
    </row>
    <row r="315" spans="10:14" ht="12.75">
      <c r="J315" s="4">
        <f t="shared" si="30"/>
        <v>0.5118150172429486</v>
      </c>
      <c r="K315" s="4">
        <f t="shared" si="31"/>
        <v>0.8603604431632701</v>
      </c>
      <c r="L315" s="4">
        <f t="shared" si="32"/>
        <v>2.059012108223932</v>
      </c>
      <c r="M315" s="4">
        <f t="shared" si="34"/>
        <v>68.90000000000006</v>
      </c>
      <c r="N315" s="4">
        <f t="shared" si="33"/>
        <v>4.513788098693746</v>
      </c>
    </row>
    <row r="316" spans="10:14" ht="12.75">
      <c r="J316" s="4">
        <f t="shared" si="30"/>
        <v>0.5155886367200948</v>
      </c>
      <c r="K316" s="4">
        <f t="shared" si="31"/>
        <v>0.8654130124752949</v>
      </c>
      <c r="L316" s="4">
        <f t="shared" si="32"/>
        <v>2.0670633047609828</v>
      </c>
      <c r="M316" s="4">
        <f t="shared" si="34"/>
        <v>69.00000000000006</v>
      </c>
      <c r="N316" s="4">
        <f t="shared" si="33"/>
        <v>4.492753623188394</v>
      </c>
    </row>
    <row r="317" spans="10:14" ht="12.75">
      <c r="J317" s="4">
        <f t="shared" si="30"/>
        <v>0.5193770919098678</v>
      </c>
      <c r="K317" s="4">
        <f t="shared" si="31"/>
        <v>0.8704804854084498</v>
      </c>
      <c r="L317" s="4">
        <f t="shared" si="32"/>
        <v>2.0751261491841593</v>
      </c>
      <c r="M317" s="4">
        <f t="shared" si="34"/>
        <v>69.10000000000005</v>
      </c>
      <c r="N317" s="4">
        <f t="shared" si="33"/>
        <v>4.471780028943549</v>
      </c>
    </row>
    <row r="318" spans="10:14" ht="12.75">
      <c r="J318" s="4">
        <f t="shared" si="30"/>
        <v>0.5231804128910664</v>
      </c>
      <c r="K318" s="4">
        <f t="shared" si="31"/>
        <v>0.8755628833610596</v>
      </c>
      <c r="L318" s="4">
        <f t="shared" si="32"/>
        <v>2.0832006405005594</v>
      </c>
      <c r="M318" s="4">
        <f t="shared" si="34"/>
        <v>69.20000000000005</v>
      </c>
      <c r="N318" s="4">
        <f t="shared" si="33"/>
        <v>4.450867052023112</v>
      </c>
    </row>
    <row r="319" spans="10:14" ht="12.75">
      <c r="J319" s="4">
        <f t="shared" si="30"/>
        <v>0.5269986300306854</v>
      </c>
      <c r="K319" s="4">
        <f t="shared" si="31"/>
        <v>0.8806602279423097</v>
      </c>
      <c r="L319" s="4">
        <f t="shared" si="32"/>
        <v>2.0912867778165443</v>
      </c>
      <c r="M319" s="4">
        <f t="shared" si="34"/>
        <v>69.30000000000004</v>
      </c>
      <c r="N319" s="4">
        <f t="shared" si="33"/>
        <v>4.430014430014422</v>
      </c>
    </row>
    <row r="320" spans="10:14" ht="12.75">
      <c r="J320" s="4">
        <f t="shared" si="30"/>
        <v>0.5308317739846643</v>
      </c>
      <c r="K320" s="4">
        <f t="shared" si="31"/>
        <v>0.8857725409723489</v>
      </c>
      <c r="L320" s="4">
        <f t="shared" si="32"/>
        <v>2.099384560337246</v>
      </c>
      <c r="M320" s="4">
        <f t="shared" si="34"/>
        <v>69.40000000000003</v>
      </c>
      <c r="N320" s="4">
        <f t="shared" si="33"/>
        <v>4.4092219020172845</v>
      </c>
    </row>
    <row r="321" spans="10:14" ht="12.75">
      <c r="J321" s="4">
        <f t="shared" si="30"/>
        <v>0.5346798756986545</v>
      </c>
      <c r="K321" s="4">
        <f t="shared" si="31"/>
        <v>0.8908998444824083</v>
      </c>
      <c r="L321" s="4">
        <f t="shared" si="32"/>
        <v>2.1074939873660754</v>
      </c>
      <c r="M321" s="4">
        <f t="shared" si="34"/>
        <v>69.50000000000003</v>
      </c>
      <c r="N321" s="4">
        <f t="shared" si="33"/>
        <v>4.388489208633088</v>
      </c>
    </row>
    <row r="322" spans="10:14" ht="12.75">
      <c r="J322" s="4">
        <f t="shared" si="30"/>
        <v>0.5385429664087986</v>
      </c>
      <c r="K322" s="4">
        <f t="shared" si="31"/>
        <v>0.8960421607149243</v>
      </c>
      <c r="L322" s="4">
        <f t="shared" si="32"/>
        <v>2.1156150583042383</v>
      </c>
      <c r="M322" s="4">
        <f t="shared" si="34"/>
        <v>69.60000000000002</v>
      </c>
      <c r="N322" s="4">
        <f t="shared" si="33"/>
        <v>4.367816091954019</v>
      </c>
    </row>
    <row r="323" spans="10:14" ht="12.75">
      <c r="J323" s="4">
        <f t="shared" si="30"/>
        <v>0.5424210776425253</v>
      </c>
      <c r="K323" s="4">
        <f t="shared" si="31"/>
        <v>0.9011995121236724</v>
      </c>
      <c r="L323" s="4">
        <f t="shared" si="32"/>
        <v>2.1237477726502574</v>
      </c>
      <c r="M323" s="4">
        <f t="shared" si="34"/>
        <v>69.70000000000002</v>
      </c>
      <c r="N323" s="4">
        <f t="shared" si="33"/>
        <v>4.347202295552364</v>
      </c>
    </row>
    <row r="324" spans="10:14" ht="12.75">
      <c r="J324" s="4">
        <f t="shared" si="30"/>
        <v>0.5463142412193572</v>
      </c>
      <c r="K324" s="4">
        <f t="shared" si="31"/>
        <v>0.9063719213739075</v>
      </c>
      <c r="L324" s="4">
        <f t="shared" si="32"/>
        <v>2.1318921299994966</v>
      </c>
      <c r="M324" s="4">
        <f t="shared" si="34"/>
        <v>69.80000000000001</v>
      </c>
      <c r="N324" s="4">
        <f t="shared" si="33"/>
        <v>4.326647564469912</v>
      </c>
    </row>
    <row r="325" spans="10:14" ht="12.75">
      <c r="J325" s="4">
        <f t="shared" si="30"/>
        <v>0.5502224892517349</v>
      </c>
      <c r="K325" s="4">
        <f t="shared" si="31"/>
        <v>0.9115594113425151</v>
      </c>
      <c r="L325" s="4">
        <f t="shared" si="32"/>
        <v>2.1400481300436898</v>
      </c>
      <c r="M325" s="4">
        <f t="shared" si="34"/>
        <v>69.9</v>
      </c>
      <c r="N325" s="4">
        <f t="shared" si="33"/>
        <v>4.3061516452074375</v>
      </c>
    </row>
    <row r="326" spans="10:14" ht="12.75">
      <c r="J326" s="4">
        <f t="shared" si="30"/>
        <v>0.554145854145854</v>
      </c>
      <c r="K326" s="4">
        <f t="shared" si="31"/>
        <v>0.9167620051181694</v>
      </c>
      <c r="L326" s="4">
        <f t="shared" si="32"/>
        <v>2.148215772570477</v>
      </c>
      <c r="M326" s="4">
        <f t="shared" si="34"/>
        <v>70</v>
      </c>
      <c r="N326" s="4">
        <f t="shared" si="33"/>
        <v>4.2857142857142865</v>
      </c>
    </row>
    <row r="327" spans="10:14" ht="12.75">
      <c r="J327" s="4">
        <f t="shared" si="30"/>
        <v>0.5580843686025189</v>
      </c>
      <c r="K327" s="4">
        <f t="shared" si="31"/>
        <v>0.9219797260015004</v>
      </c>
      <c r="L327" s="4">
        <f t="shared" si="32"/>
        <v>2.1563950574629445</v>
      </c>
      <c r="M327" s="4">
        <f t="shared" si="34"/>
        <v>70.1</v>
      </c>
      <c r="N327" s="4">
        <f t="shared" si="33"/>
        <v>4.265335235378032</v>
      </c>
    </row>
    <row r="328" spans="10:14" ht="12.75">
      <c r="J328" s="4">
        <f t="shared" si="30"/>
        <v>0.5620380656180064</v>
      </c>
      <c r="K328" s="4">
        <f t="shared" si="31"/>
        <v>0.9272125975052676</v>
      </c>
      <c r="L328" s="4">
        <f t="shared" si="32"/>
        <v>2.1645859846991646</v>
      </c>
      <c r="M328" s="4">
        <f t="shared" si="34"/>
        <v>70.19999999999999</v>
      </c>
      <c r="N328" s="4">
        <f t="shared" si="33"/>
        <v>4.2450142450142465</v>
      </c>
    </row>
    <row r="329" spans="10:14" ht="12.75">
      <c r="J329" s="4">
        <f t="shared" si="30"/>
        <v>0.5660069784849511</v>
      </c>
      <c r="K329" s="4">
        <f t="shared" si="31"/>
        <v>0.9324606433545466</v>
      </c>
      <c r="L329" s="4">
        <f t="shared" si="32"/>
        <v>2.172788554351746</v>
      </c>
      <c r="M329" s="4">
        <f t="shared" si="34"/>
        <v>70.29999999999998</v>
      </c>
      <c r="N329" s="4">
        <f t="shared" si="33"/>
        <v>4.224751066856333</v>
      </c>
    </row>
    <row r="330" spans="10:14" ht="12.75">
      <c r="J330" s="4">
        <f t="shared" si="30"/>
        <v>0.5699911407932391</v>
      </c>
      <c r="K330" s="4">
        <f t="shared" si="31"/>
        <v>0.9377238874869197</v>
      </c>
      <c r="L330" s="4">
        <f t="shared" si="32"/>
        <v>2.181002766587389</v>
      </c>
      <c r="M330" s="4">
        <f t="shared" si="34"/>
        <v>70.39999999999998</v>
      </c>
      <c r="N330" s="4">
        <f t="shared" si="33"/>
        <v>4.204545454545459</v>
      </c>
    </row>
    <row r="331" spans="10:14" ht="12.75">
      <c r="J331" s="4">
        <f t="shared" si="30"/>
        <v>0.5739905864309187</v>
      </c>
      <c r="K331" s="4">
        <f t="shared" si="31"/>
        <v>0.9430023540526751</v>
      </c>
      <c r="L331" s="4">
        <f t="shared" si="32"/>
        <v>2.1892286216664374</v>
      </c>
      <c r="M331" s="4">
        <f t="shared" si="34"/>
        <v>70.49999999999997</v>
      </c>
      <c r="N331" s="4">
        <f t="shared" si="33"/>
        <v>4.184397163120574</v>
      </c>
    </row>
    <row r="332" spans="10:14" ht="12.75">
      <c r="J332" s="4">
        <f t="shared" si="30"/>
        <v>0.5780053495851282</v>
      </c>
      <c r="K332" s="4">
        <f t="shared" si="31"/>
        <v>0.9482960674150199</v>
      </c>
      <c r="L332" s="4">
        <f t="shared" si="32"/>
        <v>2.197466119942448</v>
      </c>
      <c r="M332" s="4">
        <f t="shared" si="34"/>
        <v>70.59999999999997</v>
      </c>
      <c r="N332" s="4">
        <f t="shared" si="33"/>
        <v>4.164305949008506</v>
      </c>
    </row>
    <row r="333" spans="10:14" ht="12.75">
      <c r="J333" s="4">
        <f t="shared" si="30"/>
        <v>0.5820354647430342</v>
      </c>
      <c r="K333" s="4">
        <f t="shared" si="31"/>
        <v>0.9536050521502928</v>
      </c>
      <c r="L333" s="4">
        <f t="shared" si="32"/>
        <v>2.2057152618617453</v>
      </c>
      <c r="M333" s="4">
        <f t="shared" si="34"/>
        <v>70.69999999999996</v>
      </c>
      <c r="N333" s="4">
        <f t="shared" si="33"/>
        <v>4.144271570014153</v>
      </c>
    </row>
    <row r="334" spans="10:14" ht="12.75">
      <c r="J334" s="4">
        <f t="shared" si="30"/>
        <v>0.5860809666927879</v>
      </c>
      <c r="K334" s="4">
        <f t="shared" si="31"/>
        <v>0.9589293330481928</v>
      </c>
      <c r="L334" s="4">
        <f t="shared" si="32"/>
        <v>2.213976047963002</v>
      </c>
      <c r="M334" s="4">
        <f t="shared" si="34"/>
        <v>70.79999999999995</v>
      </c>
      <c r="N334" s="4">
        <f t="shared" si="33"/>
        <v>4.124293785310744</v>
      </c>
    </row>
    <row r="335" spans="10:14" ht="12.75">
      <c r="J335" s="4">
        <f t="shared" si="30"/>
        <v>0.590141890524495</v>
      </c>
      <c r="K335" s="4">
        <f t="shared" si="31"/>
        <v>0.9642689351120121</v>
      </c>
      <c r="L335" s="4">
        <f t="shared" si="32"/>
        <v>2.2222484788768093</v>
      </c>
      <c r="M335" s="4">
        <f t="shared" si="34"/>
        <v>70.89999999999995</v>
      </c>
      <c r="N335" s="4">
        <f t="shared" si="33"/>
        <v>4.104372355430193</v>
      </c>
    </row>
    <row r="336" spans="10:14" ht="12.75">
      <c r="J336" s="4">
        <f t="shared" si="30"/>
        <v>0.5942182716312009</v>
      </c>
      <c r="K336" s="4">
        <f t="shared" si="31"/>
        <v>0.9696238835588791</v>
      </c>
      <c r="L336" s="4">
        <f t="shared" si="32"/>
        <v>2.230532555325254</v>
      </c>
      <c r="M336" s="4">
        <f t="shared" si="34"/>
        <v>70.99999999999994</v>
      </c>
      <c r="N336" s="4">
        <f t="shared" si="33"/>
        <v>4.084507042253533</v>
      </c>
    </row>
    <row r="337" spans="10:14" ht="12.75">
      <c r="J337" s="4">
        <f t="shared" si="30"/>
        <v>0.5983101457098925</v>
      </c>
      <c r="K337" s="4">
        <f t="shared" si="31"/>
        <v>0.9749942038200083</v>
      </c>
      <c r="L337" s="4">
        <f t="shared" si="32"/>
        <v>2.238828278121505</v>
      </c>
      <c r="M337" s="4">
        <f t="shared" si="34"/>
        <v>71.09999999999994</v>
      </c>
      <c r="N337" s="4">
        <f t="shared" si="33"/>
        <v>4.064697609001419</v>
      </c>
    </row>
    <row r="338" spans="10:14" ht="12.75">
      <c r="J338" s="4">
        <f t="shared" si="30"/>
        <v>0.6024175487625109</v>
      </c>
      <c r="K338" s="4">
        <f t="shared" si="31"/>
        <v>0.98037992154096</v>
      </c>
      <c r="L338" s="4">
        <f t="shared" si="32"/>
        <v>2.2471356481694</v>
      </c>
      <c r="M338" s="4">
        <f t="shared" si="34"/>
        <v>71.19999999999993</v>
      </c>
      <c r="N338" s="4">
        <f t="shared" si="33"/>
        <v>4.0449438202247325</v>
      </c>
    </row>
    <row r="339" spans="10:14" ht="12.75">
      <c r="J339" s="4">
        <f t="shared" si="30"/>
        <v>0.6065405170969842</v>
      </c>
      <c r="K339" s="4">
        <f t="shared" si="31"/>
        <v>0.9857810625819072</v>
      </c>
      <c r="L339" s="4">
        <f t="shared" si="32"/>
        <v>2.2554546664630326</v>
      </c>
      <c r="M339" s="4">
        <f t="shared" si="34"/>
        <v>71.29999999999993</v>
      </c>
      <c r="N339" s="4">
        <f t="shared" si="33"/>
        <v>4.025245441795246</v>
      </c>
    </row>
    <row r="340" spans="10:14" ht="12.75">
      <c r="J340" s="4">
        <f t="shared" si="30"/>
        <v>0.610679087328272</v>
      </c>
      <c r="K340" s="4">
        <f t="shared" si="31"/>
        <v>0.9911976530179112</v>
      </c>
      <c r="L340" s="4">
        <f t="shared" si="32"/>
        <v>2.2637853340863527</v>
      </c>
      <c r="M340" s="4">
        <f t="shared" si="34"/>
        <v>71.39999999999992</v>
      </c>
      <c r="N340" s="4">
        <f t="shared" si="33"/>
        <v>4.0056022408963745</v>
      </c>
    </row>
    <row r="341" spans="10:14" ht="12.75">
      <c r="J341" s="4">
        <f t="shared" si="30"/>
        <v>0.6148332963794275</v>
      </c>
      <c r="K341" s="4">
        <f t="shared" si="31"/>
        <v>0.996629719139206</v>
      </c>
      <c r="L341" s="4">
        <f t="shared" si="32"/>
        <v>2.2721276522127645</v>
      </c>
      <c r="M341" s="4">
        <f t="shared" si="34"/>
        <v>71.49999999999991</v>
      </c>
      <c r="N341" s="4">
        <f t="shared" si="33"/>
        <v>3.9860139860140027</v>
      </c>
    </row>
    <row r="342" spans="10:14" ht="12.75">
      <c r="J342" s="4">
        <f t="shared" si="30"/>
        <v>0.6190031814826725</v>
      </c>
      <c r="K342" s="4">
        <f t="shared" si="31"/>
        <v>1.0020772874514896</v>
      </c>
      <c r="L342" s="4">
        <f t="shared" si="32"/>
        <v>2.2804816221047264</v>
      </c>
      <c r="M342" s="4">
        <f t="shared" si="34"/>
        <v>71.59999999999991</v>
      </c>
      <c r="N342" s="4">
        <f t="shared" si="33"/>
        <v>3.9664804469273918</v>
      </c>
    </row>
    <row r="343" spans="10:14" ht="12.75">
      <c r="J343" s="4">
        <f t="shared" si="30"/>
        <v>0.6231887801804896</v>
      </c>
      <c r="K343" s="4">
        <f t="shared" si="31"/>
        <v>1.0075403846762243</v>
      </c>
      <c r="L343" s="4">
        <f t="shared" si="32"/>
        <v>2.288847245113364</v>
      </c>
      <c r="M343" s="4">
        <f t="shared" si="34"/>
        <v>71.6999999999999</v>
      </c>
      <c r="N343" s="4">
        <f t="shared" si="33"/>
        <v>3.947001394700159</v>
      </c>
    </row>
    <row r="344" spans="10:14" ht="12.75">
      <c r="J344" s="4">
        <f t="shared" si="30"/>
        <v>0.6273901303267309</v>
      </c>
      <c r="K344" s="4">
        <f t="shared" si="31"/>
        <v>1.0130190377509487</v>
      </c>
      <c r="L344" s="4">
        <f t="shared" si="32"/>
        <v>2.2972245226780776</v>
      </c>
      <c r="M344" s="4">
        <f t="shared" si="34"/>
        <v>71.7999999999999</v>
      </c>
      <c r="N344" s="4">
        <f t="shared" si="33"/>
        <v>3.92757660167133</v>
      </c>
    </row>
    <row r="345" spans="10:14" ht="12.75">
      <c r="J345" s="4">
        <f t="shared" si="30"/>
        <v>0.6316072700877384</v>
      </c>
      <c r="K345" s="4">
        <f t="shared" si="31"/>
        <v>1.0185132738295886</v>
      </c>
      <c r="L345" s="4">
        <f t="shared" si="32"/>
        <v>2.3056134563261597</v>
      </c>
      <c r="M345" s="4">
        <f t="shared" si="34"/>
        <v>71.89999999999989</v>
      </c>
      <c r="N345" s="4">
        <f t="shared" si="33"/>
        <v>3.908205841446474</v>
      </c>
    </row>
    <row r="346" spans="10:14" ht="12.75">
      <c r="J346" s="4">
        <f t="shared" si="30"/>
        <v>0.6358402379434838</v>
      </c>
      <c r="K346" s="4">
        <f t="shared" si="31"/>
        <v>1.0240231202827874</v>
      </c>
      <c r="L346" s="4">
        <f t="shared" si="32"/>
        <v>2.314014047672411</v>
      </c>
      <c r="M346" s="4">
        <f t="shared" si="34"/>
        <v>71.99999999999989</v>
      </c>
      <c r="N346" s="4">
        <f t="shared" si="33"/>
        <v>3.8888888888889106</v>
      </c>
    </row>
    <row r="347" spans="10:14" ht="12.75">
      <c r="J347" s="4">
        <f t="shared" si="30"/>
        <v>0.640089072688722</v>
      </c>
      <c r="K347" s="4">
        <f t="shared" si="31"/>
        <v>1.0295486046982372</v>
      </c>
      <c r="L347" s="4">
        <f t="shared" si="32"/>
        <v>2.3224262984187662</v>
      </c>
      <c r="M347" s="4">
        <f t="shared" si="34"/>
        <v>72.09999999999988</v>
      </c>
      <c r="N347" s="4">
        <f t="shared" si="33"/>
        <v>3.8696255201109793</v>
      </c>
    </row>
    <row r="348" spans="10:14" ht="12.75">
      <c r="J348" s="4">
        <f t="shared" si="30"/>
        <v>0.644353813434161</v>
      </c>
      <c r="K348" s="4">
        <f t="shared" si="31"/>
        <v>1.035089754881021</v>
      </c>
      <c r="L348" s="4">
        <f t="shared" si="32"/>
        <v>2.330850210353918</v>
      </c>
      <c r="M348" s="4">
        <f t="shared" si="34"/>
        <v>72.19999999999987</v>
      </c>
      <c r="N348" s="4">
        <f t="shared" si="33"/>
        <v>3.850415512465398</v>
      </c>
    </row>
    <row r="349" spans="10:14" ht="12.75">
      <c r="J349" s="4">
        <f t="shared" si="30"/>
        <v>0.648634499607648</v>
      </c>
      <c r="K349" s="4">
        <f t="shared" si="31"/>
        <v>1.0406465988539637</v>
      </c>
      <c r="L349" s="4">
        <f t="shared" si="32"/>
        <v>2.3392857853529527</v>
      </c>
      <c r="M349" s="4">
        <f t="shared" si="34"/>
        <v>72.29999999999987</v>
      </c>
      <c r="N349" s="4">
        <f t="shared" si="33"/>
        <v>3.8312586445366783</v>
      </c>
    </row>
    <row r="350" spans="10:14" ht="12.75">
      <c r="J350" s="4">
        <f t="shared" si="30"/>
        <v>0.6529311709553699</v>
      </c>
      <c r="K350" s="4">
        <f t="shared" si="31"/>
        <v>1.0462191648579882</v>
      </c>
      <c r="L350" s="4">
        <f t="shared" si="32"/>
        <v>2.3477330253769786</v>
      </c>
      <c r="M350" s="4">
        <f t="shared" si="34"/>
        <v>72.39999999999986</v>
      </c>
      <c r="N350" s="4">
        <f t="shared" si="33"/>
        <v>3.812154696132623</v>
      </c>
    </row>
    <row r="351" spans="10:14" ht="12.75">
      <c r="J351" s="4">
        <f t="shared" si="30"/>
        <v>0.6572438675430713</v>
      </c>
      <c r="K351" s="4">
        <f t="shared" si="31"/>
        <v>1.0518074813524834</v>
      </c>
      <c r="L351" s="4">
        <f t="shared" si="32"/>
        <v>2.3561919324727656</v>
      </c>
      <c r="M351" s="4">
        <f t="shared" si="34"/>
        <v>72.49999999999986</v>
      </c>
      <c r="N351" s="4">
        <f t="shared" si="33"/>
        <v>3.7931034482758896</v>
      </c>
    </row>
    <row r="352" spans="10:14" ht="12.75">
      <c r="J352" s="4">
        <f t="shared" si="30"/>
        <v>0.6615726297572878</v>
      </c>
      <c r="K352" s="4">
        <f t="shared" si="31"/>
        <v>1.0574115770156784</v>
      </c>
      <c r="L352" s="4">
        <f t="shared" si="32"/>
        <v>2.364662508772389</v>
      </c>
      <c r="M352" s="4">
        <f t="shared" si="34"/>
        <v>72.59999999999985</v>
      </c>
      <c r="N352" s="4">
        <f t="shared" si="33"/>
        <v>3.7741046831956204</v>
      </c>
    </row>
    <row r="353" spans="10:14" ht="12.75">
      <c r="J353" s="4">
        <f t="shared" si="30"/>
        <v>0.6659174983065955</v>
      </c>
      <c r="K353" s="4">
        <f t="shared" si="31"/>
        <v>1.0630314807450254</v>
      </c>
      <c r="L353" s="4">
        <f t="shared" si="32"/>
        <v>2.3731447564928723</v>
      </c>
      <c r="M353" s="4">
        <f t="shared" si="34"/>
        <v>72.69999999999985</v>
      </c>
      <c r="N353" s="4">
        <f t="shared" si="33"/>
        <v>3.755158184319148</v>
      </c>
    </row>
    <row r="354" spans="10:14" ht="12.75">
      <c r="J354" s="4">
        <f t="shared" si="30"/>
        <v>0.6702785142228769</v>
      </c>
      <c r="K354" s="4">
        <f t="shared" si="31"/>
        <v>1.0686672216575916</v>
      </c>
      <c r="L354" s="4">
        <f t="shared" si="32"/>
        <v>2.381638677935836</v>
      </c>
      <c r="M354" s="4">
        <f t="shared" si="34"/>
        <v>72.79999999999984</v>
      </c>
      <c r="N354" s="4">
        <f t="shared" si="33"/>
        <v>3.7362637362637656</v>
      </c>
    </row>
    <row r="355" spans="10:14" ht="12.75">
      <c r="J355" s="4">
        <f t="shared" si="30"/>
        <v>0.6746557188626026</v>
      </c>
      <c r="K355" s="4">
        <f t="shared" si="31"/>
        <v>1.0743188290904568</v>
      </c>
      <c r="L355" s="4">
        <f t="shared" si="32"/>
        <v>2.3901442754871516</v>
      </c>
      <c r="M355" s="4">
        <f t="shared" si="34"/>
        <v>72.89999999999984</v>
      </c>
      <c r="N355" s="4">
        <f t="shared" si="33"/>
        <v>3.7174211248285634</v>
      </c>
    </row>
    <row r="356" spans="10:14" ht="12.75">
      <c r="J356" s="4">
        <f t="shared" si="30"/>
        <v>0.6790491539081311</v>
      </c>
      <c r="K356" s="4">
        <f t="shared" si="31"/>
        <v>1.0799863326011239</v>
      </c>
      <c r="L356" s="4">
        <f t="shared" si="32"/>
        <v>2.398661551616595</v>
      </c>
      <c r="M356" s="4">
        <f t="shared" si="34"/>
        <v>72.99999999999983</v>
      </c>
      <c r="N356" s="4">
        <f t="shared" si="33"/>
        <v>3.698630136986333</v>
      </c>
    </row>
    <row r="357" spans="10:14" ht="12.75">
      <c r="J357" s="4">
        <f t="shared" si="30"/>
        <v>0.6834588613690219</v>
      </c>
      <c r="K357" s="4">
        <f t="shared" si="31"/>
        <v>1.085669761967932</v>
      </c>
      <c r="L357" s="4">
        <f t="shared" si="32"/>
        <v>2.40719050887751</v>
      </c>
      <c r="M357" s="4">
        <f t="shared" si="34"/>
        <v>73.09999999999982</v>
      </c>
      <c r="N357" s="4">
        <f t="shared" si="33"/>
        <v>3.6798905608755454</v>
      </c>
    </row>
    <row r="358" spans="10:14" ht="12.75">
      <c r="J358" s="4">
        <f t="shared" si="30"/>
        <v>0.6878848835833674</v>
      </c>
      <c r="K358" s="4">
        <f t="shared" si="31"/>
        <v>1.0913691471904816</v>
      </c>
      <c r="L358" s="4">
        <f t="shared" si="32"/>
        <v>2.4157311499064646</v>
      </c>
      <c r="M358" s="4">
        <f t="shared" si="34"/>
        <v>73.19999999999982</v>
      </c>
      <c r="N358" s="4">
        <f t="shared" si="33"/>
        <v>3.6612021857923835</v>
      </c>
    </row>
    <row r="359" spans="10:14" ht="12.75">
      <c r="J359" s="4">
        <f t="shared" si="30"/>
        <v>0.6923272632191418</v>
      </c>
      <c r="K359" s="4">
        <f t="shared" si="31"/>
        <v>1.0970845184900686</v>
      </c>
      <c r="L359" s="4">
        <f t="shared" si="32"/>
        <v>2.424283477422924</v>
      </c>
      <c r="M359" s="4">
        <f t="shared" si="34"/>
        <v>73.29999999999981</v>
      </c>
      <c r="N359" s="4">
        <f t="shared" si="33"/>
        <v>3.6425648021828447</v>
      </c>
    </row>
    <row r="360" spans="10:14" ht="12.75">
      <c r="J360" s="4">
        <f t="shared" si="30"/>
        <v>0.6967860432755649</v>
      </c>
      <c r="K360" s="4">
        <f t="shared" si="31"/>
        <v>1.1028159063101226</v>
      </c>
      <c r="L360" s="4">
        <f t="shared" si="32"/>
        <v>2.4328474942289153</v>
      </c>
      <c r="M360" s="4">
        <f t="shared" si="34"/>
        <v>73.3999999999998</v>
      </c>
      <c r="N360" s="4">
        <f t="shared" si="33"/>
        <v>3.6239782016349125</v>
      </c>
    </row>
    <row r="361" spans="10:14" ht="12.75">
      <c r="J361" s="4">
        <f t="shared" si="30"/>
        <v>0.7012612670844837</v>
      </c>
      <c r="K361" s="4">
        <f t="shared" si="31"/>
        <v>1.1085633413166558</v>
      </c>
      <c r="L361" s="4">
        <f t="shared" si="32"/>
        <v>2.441423203208704</v>
      </c>
      <c r="M361" s="4">
        <f t="shared" si="34"/>
        <v>73.4999999999998</v>
      </c>
      <c r="N361" s="4">
        <f t="shared" si="33"/>
        <v>3.6054421768707847</v>
      </c>
    </row>
    <row r="362" spans="10:14" ht="12.75">
      <c r="J362" s="4">
        <f t="shared" si="30"/>
        <v>0.7057529783117718</v>
      </c>
      <c r="K362" s="4">
        <f t="shared" si="31"/>
        <v>1.114326854398724</v>
      </c>
      <c r="L362" s="4">
        <f t="shared" si="32"/>
        <v>2.450010607328468</v>
      </c>
      <c r="M362" s="4">
        <f t="shared" si="34"/>
        <v>73.5999999999998</v>
      </c>
      <c r="N362" s="4">
        <f t="shared" si="33"/>
        <v>3.586956521739168</v>
      </c>
    </row>
    <row r="363" spans="10:14" ht="12.75">
      <c r="J363" s="4">
        <f t="shared" si="30"/>
        <v>0.7102612209587434</v>
      </c>
      <c r="K363" s="4">
        <f t="shared" si="31"/>
        <v>1.120106476668886</v>
      </c>
      <c r="L363" s="4">
        <f t="shared" si="32"/>
        <v>2.458609709635977</v>
      </c>
      <c r="M363" s="4">
        <f t="shared" si="34"/>
        <v>73.69999999999979</v>
      </c>
      <c r="N363" s="4">
        <f t="shared" si="33"/>
        <v>3.568521031207638</v>
      </c>
    </row>
    <row r="364" spans="10:14" ht="12.75">
      <c r="J364" s="4">
        <f t="shared" si="30"/>
        <v>0.7147860393635881</v>
      </c>
      <c r="K364" s="4">
        <f t="shared" si="31"/>
        <v>1.125902239463684</v>
      </c>
      <c r="L364" s="4">
        <f t="shared" si="32"/>
        <v>2.467220513260281</v>
      </c>
      <c r="M364" s="4">
        <f t="shared" si="34"/>
        <v>73.79999999999978</v>
      </c>
      <c r="N364" s="4">
        <f t="shared" si="33"/>
        <v>3.5501355013550526</v>
      </c>
    </row>
    <row r="365" spans="10:14" ht="12.75">
      <c r="J365" s="4">
        <f t="shared" si="30"/>
        <v>0.7193274782028166</v>
      </c>
      <c r="K365" s="4">
        <f t="shared" si="31"/>
        <v>1.13171417434412</v>
      </c>
      <c r="L365" s="4">
        <f t="shared" si="32"/>
        <v>2.4758430214113845</v>
      </c>
      <c r="M365" s="4">
        <f t="shared" si="34"/>
        <v>73.89999999999978</v>
      </c>
      <c r="N365" s="4">
        <f t="shared" si="33"/>
        <v>3.531799729364046</v>
      </c>
    </row>
    <row r="366" spans="10:14" ht="12.75">
      <c r="J366" s="4">
        <f t="shared" si="30"/>
        <v>0.7238855824927325</v>
      </c>
      <c r="K366" s="4">
        <f t="shared" si="31"/>
        <v>1.1375423130961493</v>
      </c>
      <c r="L366" s="4">
        <f t="shared" si="32"/>
        <v>2.4844772373799513</v>
      </c>
      <c r="M366" s="4">
        <f t="shared" si="34"/>
        <v>73.99999999999977</v>
      </c>
      <c r="N366" s="4">
        <f t="shared" si="33"/>
        <v>3.513513513513555</v>
      </c>
    </row>
    <row r="367" spans="10:14" ht="12.75">
      <c r="J367" s="4">
        <f t="shared" si="30"/>
        <v>0.7284603975909134</v>
      </c>
      <c r="K367" s="4">
        <f t="shared" si="31"/>
        <v>1.1433866877311787</v>
      </c>
      <c r="L367" s="4">
        <f t="shared" si="32"/>
        <v>2.4931231645369833</v>
      </c>
      <c r="M367" s="4">
        <f t="shared" si="34"/>
        <v>74.09999999999977</v>
      </c>
      <c r="N367" s="4">
        <f t="shared" si="33"/>
        <v>3.495276653171432</v>
      </c>
    </row>
    <row r="368" spans="10:14" ht="12.75">
      <c r="J368" s="4">
        <f t="shared" si="30"/>
        <v>0.7330519691977134</v>
      </c>
      <c r="K368" s="4">
        <f t="shared" si="31"/>
        <v>1.149247330486573</v>
      </c>
      <c r="L368" s="4">
        <f t="shared" si="32"/>
        <v>2.5017808063335267</v>
      </c>
      <c r="M368" s="4">
        <f t="shared" si="34"/>
        <v>74.19999999999976</v>
      </c>
      <c r="N368" s="4">
        <f t="shared" si="33"/>
        <v>3.477088948787106</v>
      </c>
    </row>
    <row r="369" spans="10:14" ht="12.75">
      <c r="J369" s="4">
        <f t="shared" si="30"/>
        <v>0.7376603433577843</v>
      </c>
      <c r="K369" s="4">
        <f t="shared" si="31"/>
        <v>1.15512427382617</v>
      </c>
      <c r="L369" s="4">
        <f t="shared" si="32"/>
        <v>2.5104501663003647</v>
      </c>
      <c r="M369" s="4">
        <f t="shared" si="34"/>
        <v>74.29999999999976</v>
      </c>
      <c r="N369" s="4">
        <f t="shared" si="33"/>
        <v>3.4589502018842975</v>
      </c>
    </row>
    <row r="370" spans="10:14" ht="12.75">
      <c r="J370" s="4">
        <f t="shared" si="30"/>
        <v>0.7422855664616098</v>
      </c>
      <c r="K370" s="4">
        <f t="shared" si="31"/>
        <v>1.1610175504408067</v>
      </c>
      <c r="L370" s="4">
        <f t="shared" si="32"/>
        <v>2.519131248047721</v>
      </c>
      <c r="M370" s="4">
        <f t="shared" si="34"/>
        <v>74.39999999999975</v>
      </c>
      <c r="N370" s="4">
        <f t="shared" si="33"/>
        <v>3.4408602150538083</v>
      </c>
    </row>
    <row r="371" spans="10:14" ht="12.75">
      <c r="J371" s="4">
        <f t="shared" si="30"/>
        <v>0.7469276852470628</v>
      </c>
      <c r="K371" s="4">
        <f t="shared" si="31"/>
        <v>1.166927193248846</v>
      </c>
      <c r="L371" s="4">
        <f t="shared" si="32"/>
        <v>2.5278240552649662</v>
      </c>
      <c r="M371" s="4">
        <f t="shared" si="34"/>
        <v>74.49999999999974</v>
      </c>
      <c r="N371" s="4">
        <f t="shared" si="33"/>
        <v>3.422818791946355</v>
      </c>
    </row>
    <row r="372" spans="10:14" ht="12.75">
      <c r="J372" s="4">
        <f t="shared" si="30"/>
        <v>0.7515867468009781</v>
      </c>
      <c r="K372" s="4">
        <f t="shared" si="31"/>
        <v>1.1728532353967243</v>
      </c>
      <c r="L372" s="4">
        <f t="shared" si="32"/>
        <v>2.5365285917203284</v>
      </c>
      <c r="M372" s="4">
        <f t="shared" si="34"/>
        <v>74.59999999999974</v>
      </c>
      <c r="N372" s="4">
        <f t="shared" si="33"/>
        <v>3.404825737265462</v>
      </c>
    </row>
    <row r="373" spans="10:14" ht="12.75">
      <c r="J373" s="4">
        <f t="shared" si="30"/>
        <v>0.7562627985607416</v>
      </c>
      <c r="K373" s="4">
        <f t="shared" si="31"/>
        <v>1.178795710259492</v>
      </c>
      <c r="L373" s="4">
        <f t="shared" si="32"/>
        <v>2.5452448612605947</v>
      </c>
      <c r="M373" s="4">
        <f t="shared" si="34"/>
        <v>74.69999999999973</v>
      </c>
      <c r="N373" s="4">
        <f t="shared" si="33"/>
        <v>3.3868808567604223</v>
      </c>
    </row>
    <row r="374" spans="10:14" ht="12.75">
      <c r="J374" s="4">
        <f t="shared" si="30"/>
        <v>0.7609558883159008</v>
      </c>
      <c r="K374" s="4">
        <f t="shared" si="31"/>
        <v>1.184754651441379</v>
      </c>
      <c r="L374" s="4">
        <f t="shared" si="32"/>
        <v>2.5539728678108387</v>
      </c>
      <c r="M374" s="4">
        <f t="shared" si="34"/>
        <v>74.79999999999973</v>
      </c>
      <c r="N374" s="4">
        <f t="shared" si="33"/>
        <v>3.3689839572192994</v>
      </c>
    </row>
    <row r="375" spans="10:14" ht="12.75">
      <c r="J375" s="4">
        <f aca="true" t="shared" si="35" ref="J375:J438">IF(D$2&gt;0.2*($N375),(D$2-0.2*($N375))^2/(D$2+0.8*($N375)),0)</f>
        <v>0.7656660642097927</v>
      </c>
      <c r="K375" s="4">
        <f aca="true" t="shared" si="36" ref="K375:K438">IF(E$2&gt;0.2*($N375),(E$2-0.2*($N375))^2/(E$2+0.8*($N375)),0)</f>
        <v>1.1907300927763529</v>
      </c>
      <c r="L375" s="4">
        <f aca="true" t="shared" si="37" ref="L375:L438">IF(F$2&gt;0.2*($N375),(F$2-0.2*($N375))^2/(F$2+0.8*($N375)),0)</f>
        <v>2.5627126153741275</v>
      </c>
      <c r="M375" s="4">
        <f t="shared" si="34"/>
        <v>74.89999999999972</v>
      </c>
      <c r="N375" s="4">
        <f aca="true" t="shared" si="38" ref="N375:N438">IF(M375&gt;0,1000/M375-10,1000)</f>
        <v>3.351134846461999</v>
      </c>
    </row>
    <row r="376" spans="10:14" ht="12.75">
      <c r="J376" s="4">
        <f t="shared" si="35"/>
        <v>0.7703933747411875</v>
      </c>
      <c r="K376" s="4">
        <f t="shared" si="36"/>
        <v>1.1967220683286997</v>
      </c>
      <c r="L376" s="4">
        <f t="shared" si="37"/>
        <v>2.5714641080312477</v>
      </c>
      <c r="M376" s="4">
        <f aca="true" t="shared" si="39" ref="M376:M439">M375+0.1</f>
        <v>74.99999999999972</v>
      </c>
      <c r="N376" s="4">
        <f t="shared" si="38"/>
        <v>3.3333333333333837</v>
      </c>
    </row>
    <row r="377" spans="10:14" ht="12.75">
      <c r="J377" s="4">
        <f t="shared" si="35"/>
        <v>0.7751378687659543</v>
      </c>
      <c r="K377" s="4">
        <f t="shared" si="36"/>
        <v>1.2027306123935986</v>
      </c>
      <c r="L377" s="4">
        <f t="shared" si="37"/>
        <v>2.580227349940425</v>
      </c>
      <c r="M377" s="4">
        <f t="shared" si="39"/>
        <v>75.09999999999971</v>
      </c>
      <c r="N377" s="4">
        <f t="shared" si="38"/>
        <v>3.315579227696457</v>
      </c>
    </row>
    <row r="378" spans="10:14" ht="12.75">
      <c r="J378" s="4">
        <f t="shared" si="35"/>
        <v>0.7798995954987434</v>
      </c>
      <c r="K378" s="4">
        <f t="shared" si="36"/>
        <v>1.2087557594977199</v>
      </c>
      <c r="L378" s="4">
        <f t="shared" si="37"/>
        <v>2.5890023453370548</v>
      </c>
      <c r="M378" s="4">
        <f t="shared" si="39"/>
        <v>75.1999999999997</v>
      </c>
      <c r="N378" s="4">
        <f t="shared" si="38"/>
        <v>3.2978723404255845</v>
      </c>
    </row>
    <row r="379" spans="10:14" ht="12.75">
      <c r="J379" s="4">
        <f t="shared" si="35"/>
        <v>0.7846786045146878</v>
      </c>
      <c r="K379" s="4">
        <f t="shared" si="36"/>
        <v>1.2147975443998198</v>
      </c>
      <c r="L379" s="4">
        <f t="shared" si="37"/>
        <v>2.5977890985334238</v>
      </c>
      <c r="M379" s="4">
        <f t="shared" si="39"/>
        <v>75.2999999999997</v>
      </c>
      <c r="N379" s="4">
        <f t="shared" si="38"/>
        <v>3.2802124833997883</v>
      </c>
    </row>
    <row r="380" spans="10:14" ht="12.75">
      <c r="J380" s="4">
        <f t="shared" si="35"/>
        <v>0.7894749457511239</v>
      </c>
      <c r="K380" s="4">
        <f t="shared" si="36"/>
        <v>1.220856002091351</v>
      </c>
      <c r="L380" s="4">
        <f t="shared" si="37"/>
        <v>2.6065876139184514</v>
      </c>
      <c r="M380" s="4">
        <f t="shared" si="39"/>
        <v>75.3999999999997</v>
      </c>
      <c r="N380" s="4">
        <f t="shared" si="38"/>
        <v>3.2625994694960756</v>
      </c>
    </row>
    <row r="381" spans="10:14" ht="12.75">
      <c r="J381" s="4">
        <f t="shared" si="35"/>
        <v>0.7942886695093292</v>
      </c>
      <c r="K381" s="4">
        <f t="shared" si="36"/>
        <v>1.2269311677970764</v>
      </c>
      <c r="L381" s="4">
        <f t="shared" si="37"/>
        <v>2.615397895957415</v>
      </c>
      <c r="M381" s="4">
        <f t="shared" si="39"/>
        <v>75.49999999999969</v>
      </c>
      <c r="N381" s="4">
        <f t="shared" si="38"/>
        <v>3.2450331125828367</v>
      </c>
    </row>
    <row r="382" spans="10:14" ht="12.75">
      <c r="J382" s="4">
        <f t="shared" si="35"/>
        <v>0.7991198264562831</v>
      </c>
      <c r="K382" s="4">
        <f t="shared" si="36"/>
        <v>1.2330230769756956</v>
      </c>
      <c r="L382" s="4">
        <f t="shared" si="37"/>
        <v>2.6242199491916947</v>
      </c>
      <c r="M382" s="4">
        <f t="shared" si="39"/>
        <v>75.59999999999968</v>
      </c>
      <c r="N382" s="4">
        <f t="shared" si="38"/>
        <v>3.227513227513283</v>
      </c>
    </row>
    <row r="383" spans="10:14" ht="12.75">
      <c r="J383" s="4">
        <f t="shared" si="35"/>
        <v>0.8039684676264433</v>
      </c>
      <c r="K383" s="4">
        <f t="shared" si="36"/>
        <v>1.2391317653204759</v>
      </c>
      <c r="L383" s="4">
        <f t="shared" si="37"/>
        <v>2.6330537782385064</v>
      </c>
      <c r="M383" s="4">
        <f t="shared" si="39"/>
        <v>75.69999999999968</v>
      </c>
      <c r="N383" s="4">
        <f t="shared" si="38"/>
        <v>3.2100396301189473</v>
      </c>
    </row>
    <row r="384" spans="10:14" ht="12.75">
      <c r="J384" s="4">
        <f t="shared" si="35"/>
        <v>0.8088346444235431</v>
      </c>
      <c r="K384" s="4">
        <f t="shared" si="36"/>
        <v>1.245257268759899</v>
      </c>
      <c r="L384" s="4">
        <f t="shared" si="37"/>
        <v>2.641899387790657</v>
      </c>
      <c r="M384" s="4">
        <f t="shared" si="39"/>
        <v>75.79999999999967</v>
      </c>
      <c r="N384" s="4">
        <f t="shared" si="38"/>
        <v>3.1926121372032235</v>
      </c>
    </row>
    <row r="385" spans="10:14" ht="12.75">
      <c r="J385" s="4">
        <f t="shared" si="35"/>
        <v>0.8137184086224073</v>
      </c>
      <c r="K385" s="4">
        <f t="shared" si="36"/>
        <v>1.2513996234583056</v>
      </c>
      <c r="L385" s="4">
        <f t="shared" si="37"/>
        <v>2.650756782616273</v>
      </c>
      <c r="M385" s="4">
        <f t="shared" si="39"/>
        <v>75.89999999999966</v>
      </c>
      <c r="N385" s="4">
        <f t="shared" si="38"/>
        <v>3.1752305665349727</v>
      </c>
    </row>
    <row r="386" spans="10:14" ht="12.75">
      <c r="J386" s="4">
        <f t="shared" si="35"/>
        <v>0.8186198123707894</v>
      </c>
      <c r="K386" s="4">
        <f t="shared" si="36"/>
        <v>1.2575588658165575</v>
      </c>
      <c r="L386" s="4">
        <f t="shared" si="37"/>
        <v>2.6596259675585645</v>
      </c>
      <c r="M386" s="4">
        <f t="shared" si="39"/>
        <v>75.99999999999966</v>
      </c>
      <c r="N386" s="4">
        <f t="shared" si="38"/>
        <v>3.157894736842165</v>
      </c>
    </row>
    <row r="387" spans="10:14" ht="12.75">
      <c r="J387" s="4">
        <f t="shared" si="35"/>
        <v>0.8235389081912271</v>
      </c>
      <c r="K387" s="4">
        <f t="shared" si="36"/>
        <v>1.2637350324727075</v>
      </c>
      <c r="L387" s="4">
        <f t="shared" si="37"/>
        <v>2.6685069475355685</v>
      </c>
      <c r="M387" s="4">
        <f t="shared" si="39"/>
        <v>76.09999999999965</v>
      </c>
      <c r="N387" s="4">
        <f t="shared" si="38"/>
        <v>3.140604467805579</v>
      </c>
    </row>
    <row r="388" spans="10:14" ht="12.75">
      <c r="J388" s="4">
        <f t="shared" si="35"/>
        <v>0.8284757489829174</v>
      </c>
      <c r="K388" s="4">
        <f t="shared" si="36"/>
        <v>1.269928160302668</v>
      </c>
      <c r="L388" s="4">
        <f t="shared" si="37"/>
        <v>2.677399727539903</v>
      </c>
      <c r="M388" s="4">
        <f t="shared" si="39"/>
        <v>76.19999999999965</v>
      </c>
      <c r="N388" s="4">
        <f t="shared" si="38"/>
        <v>3.123359580052554</v>
      </c>
    </row>
    <row r="389" spans="10:14" ht="12.75">
      <c r="J389" s="4">
        <f t="shared" si="35"/>
        <v>0.8334303880236139</v>
      </c>
      <c r="K389" s="4">
        <f t="shared" si="36"/>
        <v>1.2761382864209052</v>
      </c>
      <c r="L389" s="4">
        <f t="shared" si="37"/>
        <v>2.6863043126385264</v>
      </c>
      <c r="M389" s="4">
        <f t="shared" si="39"/>
        <v>76.29999999999964</v>
      </c>
      <c r="N389" s="4">
        <f t="shared" si="38"/>
        <v>3.106159895150782</v>
      </c>
    </row>
    <row r="390" spans="10:14" ht="12.75">
      <c r="J390" s="4">
        <f t="shared" si="35"/>
        <v>0.8384028789715416</v>
      </c>
      <c r="K390" s="4">
        <f t="shared" si="36"/>
        <v>1.282365448181125</v>
      </c>
      <c r="L390" s="4">
        <f t="shared" si="37"/>
        <v>2.6952207079724957</v>
      </c>
      <c r="M390" s="4">
        <f t="shared" si="39"/>
        <v>76.39999999999964</v>
      </c>
      <c r="N390" s="4">
        <f t="shared" si="38"/>
        <v>3.0890052356021567</v>
      </c>
    </row>
    <row r="391" spans="10:14" ht="12.75">
      <c r="J391" s="4">
        <f t="shared" si="35"/>
        <v>0.8433932758673343</v>
      </c>
      <c r="K391" s="4">
        <f t="shared" si="36"/>
        <v>1.2886096831769818</v>
      </c>
      <c r="L391" s="4">
        <f t="shared" si="37"/>
        <v>2.7041489187567245</v>
      </c>
      <c r="M391" s="4">
        <f t="shared" si="39"/>
        <v>76.49999999999963</v>
      </c>
      <c r="N391" s="4">
        <f t="shared" si="38"/>
        <v>3.071895424836665</v>
      </c>
    </row>
    <row r="392" spans="10:14" ht="12.75">
      <c r="J392" s="4">
        <f t="shared" si="35"/>
        <v>0.848401633135991</v>
      </c>
      <c r="K392" s="4">
        <f t="shared" si="36"/>
        <v>1.2948710292427843</v>
      </c>
      <c r="L392" s="4">
        <f t="shared" si="37"/>
        <v>2.7130889502797557</v>
      </c>
      <c r="M392" s="4">
        <f t="shared" si="39"/>
        <v>76.59999999999962</v>
      </c>
      <c r="N392" s="4">
        <f t="shared" si="38"/>
        <v>3.0548302872063307</v>
      </c>
    </row>
    <row r="393" spans="10:14" ht="12.75">
      <c r="J393" s="4">
        <f t="shared" si="35"/>
        <v>0.8534280055888539</v>
      </c>
      <c r="K393" s="4">
        <f t="shared" si="36"/>
        <v>1.3011495244542175</v>
      </c>
      <c r="L393" s="4">
        <f t="shared" si="37"/>
        <v>2.72204080790352</v>
      </c>
      <c r="M393" s="4">
        <f t="shared" si="39"/>
        <v>76.69999999999962</v>
      </c>
      <c r="N393" s="4">
        <f t="shared" si="38"/>
        <v>3.037809647979204</v>
      </c>
    </row>
    <row r="394" spans="10:14" ht="12.75">
      <c r="J394" s="4">
        <f t="shared" si="35"/>
        <v>0.8584724484256047</v>
      </c>
      <c r="K394" s="4">
        <f t="shared" si="36"/>
        <v>1.3074452071290699</v>
      </c>
      <c r="L394" s="4">
        <f t="shared" si="37"/>
        <v>2.7310044970631076</v>
      </c>
      <c r="M394" s="4">
        <f t="shared" si="39"/>
        <v>76.79999999999961</v>
      </c>
      <c r="N394" s="4">
        <f t="shared" si="38"/>
        <v>3.0208333333333997</v>
      </c>
    </row>
    <row r="395" spans="10:14" ht="12.75">
      <c r="J395" s="4">
        <f t="shared" si="35"/>
        <v>0.8635350172362877</v>
      </c>
      <c r="K395" s="4">
        <f t="shared" si="36"/>
        <v>1.3137581158279739</v>
      </c>
      <c r="L395" s="4">
        <f t="shared" si="37"/>
        <v>2.7399800232665443</v>
      </c>
      <c r="M395" s="4">
        <f t="shared" si="39"/>
        <v>76.89999999999961</v>
      </c>
      <c r="N395" s="4">
        <f t="shared" si="38"/>
        <v>3.003901170351172</v>
      </c>
    </row>
    <row r="396" spans="10:14" ht="12.75">
      <c r="J396" s="4">
        <f t="shared" si="35"/>
        <v>0.8686157680033467</v>
      </c>
      <c r="K396" s="4">
        <f t="shared" si="36"/>
        <v>1.320088289355149</v>
      </c>
      <c r="L396" s="4">
        <f t="shared" si="37"/>
        <v>2.7489673920945634</v>
      </c>
      <c r="M396" s="4">
        <f t="shared" si="39"/>
        <v>76.9999999999996</v>
      </c>
      <c r="N396" s="4">
        <f t="shared" si="38"/>
        <v>2.9870129870130544</v>
      </c>
    </row>
    <row r="397" spans="10:14" ht="12.75">
      <c r="J397" s="4">
        <f t="shared" si="35"/>
        <v>0.8737147571036878</v>
      </c>
      <c r="K397" s="4">
        <f t="shared" si="36"/>
        <v>1.3264357667591584</v>
      </c>
      <c r="L397" s="4">
        <f t="shared" si="37"/>
        <v>2.7579666092003783</v>
      </c>
      <c r="M397" s="4">
        <f t="shared" si="39"/>
        <v>77.0999999999996</v>
      </c>
      <c r="N397" s="4">
        <f t="shared" si="38"/>
        <v>2.970168612192026</v>
      </c>
    </row>
    <row r="398" spans="10:14" ht="12.75">
      <c r="J398" s="4">
        <f t="shared" si="35"/>
        <v>0.878832041310763</v>
      </c>
      <c r="K398" s="4">
        <f t="shared" si="36"/>
        <v>1.3328005873336697</v>
      </c>
      <c r="L398" s="4">
        <f t="shared" si="37"/>
        <v>2.7669776803094686</v>
      </c>
      <c r="M398" s="4">
        <f t="shared" si="39"/>
        <v>77.19999999999959</v>
      </c>
      <c r="N398" s="4">
        <f t="shared" si="38"/>
        <v>2.9533678756477375</v>
      </c>
    </row>
    <row r="399" spans="10:14" ht="12.75">
      <c r="J399" s="4">
        <f t="shared" si="35"/>
        <v>0.8839676777966734</v>
      </c>
      <c r="K399" s="4">
        <f t="shared" si="36"/>
        <v>1.3391827906182343</v>
      </c>
      <c r="L399" s="4">
        <f t="shared" si="37"/>
        <v>2.7760006112193585</v>
      </c>
      <c r="M399" s="4">
        <f t="shared" si="39"/>
        <v>77.29999999999959</v>
      </c>
      <c r="N399" s="4">
        <f t="shared" si="38"/>
        <v>2.936610608020768</v>
      </c>
    </row>
    <row r="400" spans="10:14" ht="12.75">
      <c r="J400" s="4">
        <f t="shared" si="35"/>
        <v>0.8891217241342978</v>
      </c>
      <c r="K400" s="4">
        <f t="shared" si="36"/>
        <v>1.3455824163990615</v>
      </c>
      <c r="L400" s="4">
        <f t="shared" si="37"/>
        <v>2.785035407799405</v>
      </c>
      <c r="M400" s="4">
        <f t="shared" si="39"/>
        <v>77.39999999999958</v>
      </c>
      <c r="N400" s="4">
        <f t="shared" si="38"/>
        <v>2.919896640826943</v>
      </c>
    </row>
    <row r="401" spans="10:14" ht="12.75">
      <c r="J401" s="4">
        <f t="shared" si="35"/>
        <v>0.8942942382994374</v>
      </c>
      <c r="K401" s="4">
        <f t="shared" si="36"/>
        <v>1.3519995047098154</v>
      </c>
      <c r="L401" s="4">
        <f t="shared" si="37"/>
        <v>2.794082075990577</v>
      </c>
      <c r="M401" s="4">
        <f t="shared" si="39"/>
        <v>77.49999999999957</v>
      </c>
      <c r="N401" s="4">
        <f t="shared" si="38"/>
        <v>2.903225806451683</v>
      </c>
    </row>
    <row r="402" spans="10:14" ht="12.75">
      <c r="J402" s="4">
        <f t="shared" si="35"/>
        <v>0.8994852786729898</v>
      </c>
      <c r="K402" s="4">
        <f t="shared" si="36"/>
        <v>1.3584340958324097</v>
      </c>
      <c r="L402" s="4">
        <f t="shared" si="37"/>
        <v>2.8031406218052504</v>
      </c>
      <c r="M402" s="4">
        <f t="shared" si="39"/>
        <v>77.59999999999957</v>
      </c>
      <c r="N402" s="4">
        <f t="shared" si="38"/>
        <v>2.8865979381444014</v>
      </c>
    </row>
    <row r="403" spans="10:14" ht="12.75">
      <c r="J403" s="4">
        <f t="shared" si="35"/>
        <v>0.9046949040431385</v>
      </c>
      <c r="K403" s="4">
        <f t="shared" si="36"/>
        <v>1.3648862302978204</v>
      </c>
      <c r="L403" s="4">
        <f t="shared" si="37"/>
        <v>2.8122110513269982</v>
      </c>
      <c r="M403" s="4">
        <f t="shared" si="39"/>
        <v>77.69999999999956</v>
      </c>
      <c r="N403" s="4">
        <f t="shared" si="38"/>
        <v>2.8700128700129426</v>
      </c>
    </row>
    <row r="404" spans="10:14" ht="12.75">
      <c r="J404" s="4">
        <f t="shared" si="35"/>
        <v>0.9099231736075706</v>
      </c>
      <c r="K404" s="4">
        <f t="shared" si="36"/>
        <v>1.3713559488869025</v>
      </c>
      <c r="L404" s="4">
        <f t="shared" si="37"/>
        <v>2.821293370710389</v>
      </c>
      <c r="M404" s="4">
        <f t="shared" si="39"/>
        <v>77.79999999999956</v>
      </c>
      <c r="N404" s="4">
        <f t="shared" si="38"/>
        <v>2.8534704370180677</v>
      </c>
    </row>
    <row r="405" spans="10:14" ht="12.75">
      <c r="J405" s="4">
        <f t="shared" si="35"/>
        <v>0.9151701469757114</v>
      </c>
      <c r="K405" s="4">
        <f t="shared" si="36"/>
        <v>1.3778432926312136</v>
      </c>
      <c r="L405" s="4">
        <f t="shared" si="37"/>
        <v>2.8303875861807706</v>
      </c>
      <c r="M405" s="4">
        <f t="shared" si="39"/>
        <v>77.89999999999955</v>
      </c>
      <c r="N405" s="4">
        <f t="shared" si="38"/>
        <v>2.8369704749679823</v>
      </c>
    </row>
    <row r="406" spans="10:14" ht="12.75">
      <c r="J406" s="4">
        <f t="shared" si="35"/>
        <v>0.9204358841709871</v>
      </c>
      <c r="K406" s="4">
        <f t="shared" si="36"/>
        <v>1.384348302813857</v>
      </c>
      <c r="L406" s="4">
        <f t="shared" si="37"/>
        <v>2.8394937040340817</v>
      </c>
      <c r="M406" s="4">
        <f t="shared" si="39"/>
        <v>77.99999999999955</v>
      </c>
      <c r="N406" s="4">
        <f t="shared" si="38"/>
        <v>2.8205128205128958</v>
      </c>
    </row>
    <row r="407" spans="10:14" ht="12.75">
      <c r="J407" s="4">
        <f t="shared" si="35"/>
        <v>0.9257204456331056</v>
      </c>
      <c r="K407" s="4">
        <f t="shared" si="36"/>
        <v>1.3908710209703188</v>
      </c>
      <c r="L407" s="4">
        <f t="shared" si="37"/>
        <v>2.848611730636644</v>
      </c>
      <c r="M407" s="4">
        <f t="shared" si="39"/>
        <v>78.09999999999954</v>
      </c>
      <c r="N407" s="4">
        <f t="shared" si="38"/>
        <v>2.804097311139641</v>
      </c>
    </row>
    <row r="408" spans="10:14" ht="12.75">
      <c r="J408" s="4">
        <f t="shared" si="35"/>
        <v>0.9310238922203662</v>
      </c>
      <c r="K408" s="4">
        <f t="shared" si="36"/>
        <v>1.397411488889328</v>
      </c>
      <c r="L408" s="4">
        <f t="shared" si="37"/>
        <v>2.8577416724249733</v>
      </c>
      <c r="M408" s="4">
        <f t="shared" si="39"/>
        <v>78.19999999999953</v>
      </c>
      <c r="N408" s="4">
        <f t="shared" si="38"/>
        <v>2.7877237851663175</v>
      </c>
    </row>
    <row r="409" spans="10:14" ht="12.75">
      <c r="J409" s="4">
        <f t="shared" si="35"/>
        <v>0.9363462852119862</v>
      </c>
      <c r="K409" s="4">
        <f t="shared" si="36"/>
        <v>1.4039697486137186</v>
      </c>
      <c r="L409" s="4">
        <f t="shared" si="37"/>
        <v>2.8668835359055755</v>
      </c>
      <c r="M409" s="4">
        <f t="shared" si="39"/>
        <v>78.29999999999953</v>
      </c>
      <c r="N409" s="4">
        <f t="shared" si="38"/>
        <v>2.7713920817369857</v>
      </c>
    </row>
    <row r="410" spans="10:14" ht="12.75">
      <c r="J410" s="4">
        <f t="shared" si="35"/>
        <v>0.9416876863104541</v>
      </c>
      <c r="K410" s="4">
        <f t="shared" si="36"/>
        <v>1.4105458424412995</v>
      </c>
      <c r="L410" s="4">
        <f t="shared" si="37"/>
        <v>2.87603732765476</v>
      </c>
      <c r="M410" s="4">
        <f t="shared" si="39"/>
        <v>78.39999999999952</v>
      </c>
      <c r="N410" s="4">
        <f t="shared" si="38"/>
        <v>2.7551020408164035</v>
      </c>
    </row>
    <row r="411" spans="10:14" ht="12.75">
      <c r="J411" s="4">
        <f t="shared" si="35"/>
        <v>0.9470481576439082</v>
      </c>
      <c r="K411" s="4">
        <f t="shared" si="36"/>
        <v>1.4171398129257418</v>
      </c>
      <c r="L411" s="4">
        <f t="shared" si="37"/>
        <v>2.8852030543184473</v>
      </c>
      <c r="M411" s="4">
        <f t="shared" si="39"/>
        <v>78.49999999999952</v>
      </c>
      <c r="N411" s="4">
        <f t="shared" si="38"/>
        <v>2.7388535031847923</v>
      </c>
    </row>
    <row r="412" spans="10:14" ht="12.75">
      <c r="J412" s="4">
        <f t="shared" si="35"/>
        <v>0.9524277617685374</v>
      </c>
      <c r="K412" s="4">
        <f t="shared" si="36"/>
        <v>1.423751702877468</v>
      </c>
      <c r="L412" s="4">
        <f t="shared" si="37"/>
        <v>2.894380722611984</v>
      </c>
      <c r="M412" s="4">
        <f t="shared" si="39"/>
        <v>78.59999999999951</v>
      </c>
      <c r="N412" s="4">
        <f t="shared" si="38"/>
        <v>2.7226463104326495</v>
      </c>
    </row>
    <row r="413" spans="10:14" ht="12.75">
      <c r="J413" s="4">
        <f t="shared" si="35"/>
        <v>0.9578265616710047</v>
      </c>
      <c r="K413" s="4">
        <f t="shared" si="36"/>
        <v>1.4303815553645518</v>
      </c>
      <c r="L413" s="4">
        <f t="shared" si="37"/>
        <v>2.9035703393199555</v>
      </c>
      <c r="M413" s="4">
        <f t="shared" si="39"/>
        <v>78.6999999999995</v>
      </c>
      <c r="N413" s="4">
        <f t="shared" si="38"/>
        <v>2.7064803049556065</v>
      </c>
    </row>
    <row r="414" spans="10:14" ht="12.75">
      <c r="J414" s="4">
        <f t="shared" si="35"/>
        <v>0.9632446207708945</v>
      </c>
      <c r="K414" s="4">
        <f t="shared" si="36"/>
        <v>1.4370294137136281</v>
      </c>
      <c r="L414" s="4">
        <f t="shared" si="37"/>
        <v>2.912771911295998</v>
      </c>
      <c r="M414" s="4">
        <f t="shared" si="39"/>
        <v>78.7999999999995</v>
      </c>
      <c r="N414" s="4">
        <f t="shared" si="38"/>
        <v>2.6903553299493197</v>
      </c>
    </row>
    <row r="415" spans="10:14" ht="12.75">
      <c r="J415" s="4">
        <f t="shared" si="35"/>
        <v>0.968682002923191</v>
      </c>
      <c r="K415" s="4">
        <f t="shared" si="36"/>
        <v>1.4436953215108177</v>
      </c>
      <c r="L415" s="4">
        <f t="shared" si="37"/>
        <v>2.921985445462624</v>
      </c>
      <c r="M415" s="4">
        <f t="shared" si="39"/>
        <v>78.8999999999995</v>
      </c>
      <c r="N415" s="4">
        <f t="shared" si="38"/>
        <v>2.6742712294043898</v>
      </c>
    </row>
    <row r="416" spans="10:14" ht="12.75">
      <c r="J416" s="4">
        <f t="shared" si="35"/>
        <v>0.9741387724207713</v>
      </c>
      <c r="K416" s="4">
        <f t="shared" si="36"/>
        <v>1.4503793226026482</v>
      </c>
      <c r="L416" s="4">
        <f t="shared" si="37"/>
        <v>2.9312109488110356</v>
      </c>
      <c r="M416" s="4">
        <f t="shared" si="39"/>
        <v>78.99999999999949</v>
      </c>
      <c r="N416" s="4">
        <f t="shared" si="38"/>
        <v>2.6582278481013475</v>
      </c>
    </row>
    <row r="417" spans="10:14" ht="12.75">
      <c r="J417" s="4">
        <f t="shared" si="35"/>
        <v>0.9796149939969317</v>
      </c>
      <c r="K417" s="4">
        <f t="shared" si="36"/>
        <v>1.4570814610970007</v>
      </c>
      <c r="L417" s="4">
        <f t="shared" si="37"/>
        <v>2.9404484284009555</v>
      </c>
      <c r="M417" s="4">
        <f t="shared" si="39"/>
        <v>79.09999999999948</v>
      </c>
      <c r="N417" s="4">
        <f t="shared" si="38"/>
        <v>2.642225031605646</v>
      </c>
    </row>
    <row r="418" spans="10:14" ht="12.75">
      <c r="J418" s="4">
        <f t="shared" si="35"/>
        <v>0.9851107328279354</v>
      </c>
      <c r="K418" s="4">
        <f t="shared" si="36"/>
        <v>1.4638017813640551</v>
      </c>
      <c r="L418" s="4">
        <f t="shared" si="37"/>
        <v>2.949697891360447</v>
      </c>
      <c r="M418" s="4">
        <f t="shared" si="39"/>
        <v>79.19999999999948</v>
      </c>
      <c r="N418" s="4">
        <f t="shared" si="38"/>
        <v>2.62626262626271</v>
      </c>
    </row>
    <row r="419" spans="10:14" ht="12.75">
      <c r="J419" s="4">
        <f t="shared" si="35"/>
        <v>0.9906260545355837</v>
      </c>
      <c r="K419" s="4">
        <f t="shared" si="36"/>
        <v>1.470540328037245</v>
      </c>
      <c r="L419" s="4">
        <f t="shared" si="37"/>
        <v>2.9589593448857383</v>
      </c>
      <c r="M419" s="4">
        <f t="shared" si="39"/>
        <v>79.29999999999947</v>
      </c>
      <c r="N419" s="4">
        <f t="shared" si="38"/>
        <v>2.610340479193022</v>
      </c>
    </row>
    <row r="420" spans="10:14" ht="12.75">
      <c r="J420" s="4">
        <f t="shared" si="35"/>
        <v>0.9961610251898173</v>
      </c>
      <c r="K420" s="4">
        <f t="shared" si="36"/>
        <v>1.4772971460142306</v>
      </c>
      <c r="L420" s="4">
        <f t="shared" si="37"/>
        <v>2.968232796241059</v>
      </c>
      <c r="M420" s="4">
        <f t="shared" si="39"/>
        <v>79.39999999999947</v>
      </c>
      <c r="N420" s="4">
        <f t="shared" si="38"/>
        <v>2.594458438287239</v>
      </c>
    </row>
    <row r="421" spans="10:14" ht="12.75">
      <c r="J421" s="4">
        <f t="shared" si="35"/>
        <v>1.0017157113113402</v>
      </c>
      <c r="K421" s="4">
        <f t="shared" si="36"/>
        <v>1.4840722804578736</v>
      </c>
      <c r="L421" s="4">
        <f t="shared" si="37"/>
        <v>2.9775182527584625</v>
      </c>
      <c r="M421" s="4">
        <f t="shared" si="39"/>
        <v>79.49999999999946</v>
      </c>
      <c r="N421" s="4">
        <f t="shared" si="38"/>
        <v>2.578616352201344</v>
      </c>
    </row>
    <row r="422" spans="10:14" ht="12.75">
      <c r="J422" s="4">
        <f t="shared" si="35"/>
        <v>1.0072901798742697</v>
      </c>
      <c r="K422" s="4">
        <f t="shared" si="36"/>
        <v>1.4908657767972233</v>
      </c>
      <c r="L422" s="4">
        <f t="shared" si="37"/>
        <v>2.9868157218376683</v>
      </c>
      <c r="M422" s="4">
        <f t="shared" si="39"/>
        <v>79.59999999999945</v>
      </c>
      <c r="N422" s="4">
        <f t="shared" si="38"/>
        <v>2.5628140703518447</v>
      </c>
    </row>
    <row r="423" spans="10:14" ht="12.75">
      <c r="J423" s="4">
        <f t="shared" si="35"/>
        <v>1.0128844983088134</v>
      </c>
      <c r="K423" s="4">
        <f t="shared" si="36"/>
        <v>1.4976776807285144</v>
      </c>
      <c r="L423" s="4">
        <f t="shared" si="37"/>
        <v>2.9961252109458885</v>
      </c>
      <c r="M423" s="4">
        <f t="shared" si="39"/>
        <v>79.69999999999945</v>
      </c>
      <c r="N423" s="4">
        <f t="shared" si="38"/>
        <v>2.5470514429110036</v>
      </c>
    </row>
    <row r="424" spans="10:14" ht="12.75">
      <c r="J424" s="4">
        <f t="shared" si="35"/>
        <v>1.018498734503974</v>
      </c>
      <c r="K424" s="4">
        <f t="shared" si="36"/>
        <v>1.5045080382161748</v>
      </c>
      <c r="L424" s="4">
        <f t="shared" si="37"/>
        <v>3.005446727617673</v>
      </c>
      <c r="M424" s="4">
        <f t="shared" si="39"/>
        <v>79.79999999999944</v>
      </c>
      <c r="N424" s="4">
        <f t="shared" si="38"/>
        <v>2.5313283208020927</v>
      </c>
    </row>
    <row r="425" spans="10:14" ht="12.75">
      <c r="J425" s="4">
        <f t="shared" si="35"/>
        <v>1.0241329568102748</v>
      </c>
      <c r="K425" s="4">
        <f t="shared" si="36"/>
        <v>1.51135689549384</v>
      </c>
      <c r="L425" s="4">
        <f t="shared" si="37"/>
        <v>3.014780279454738</v>
      </c>
      <c r="M425" s="4">
        <f t="shared" si="39"/>
        <v>79.89999999999944</v>
      </c>
      <c r="N425" s="4">
        <f t="shared" si="38"/>
        <v>2.5156445556947062</v>
      </c>
    </row>
    <row r="426" spans="10:14" ht="12.75">
      <c r="J426" s="4">
        <f t="shared" si="35"/>
        <v>1.0297872340425211</v>
      </c>
      <c r="K426" s="4">
        <f t="shared" si="36"/>
        <v>1.5182242990653816</v>
      </c>
      <c r="L426" s="4">
        <f t="shared" si="37"/>
        <v>3.0241258741258212</v>
      </c>
      <c r="M426" s="4">
        <f t="shared" si="39"/>
        <v>79.99999999999943</v>
      </c>
      <c r="N426" s="4">
        <f t="shared" si="38"/>
        <v>2.500000000000089</v>
      </c>
    </row>
    <row r="427" spans="10:14" ht="12.75">
      <c r="J427" s="4">
        <f t="shared" si="35"/>
        <v>1.0354616354825807</v>
      </c>
      <c r="K427" s="4">
        <f t="shared" si="36"/>
        <v>1.5251102957059415</v>
      </c>
      <c r="L427" s="4">
        <f t="shared" si="37"/>
        <v>3.0334835193665137</v>
      </c>
      <c r="M427" s="4">
        <f t="shared" si="39"/>
        <v>80.09999999999943</v>
      </c>
      <c r="N427" s="4">
        <f t="shared" si="38"/>
        <v>2.484394506866506</v>
      </c>
    </row>
    <row r="428" spans="10:14" ht="12.75">
      <c r="J428" s="4">
        <f t="shared" si="35"/>
        <v>1.0411562308821953</v>
      </c>
      <c r="K428" s="4">
        <f t="shared" si="36"/>
        <v>1.532014932462982</v>
      </c>
      <c r="L428" s="4">
        <f t="shared" si="37"/>
        <v>3.042853222979108</v>
      </c>
      <c r="M428" s="4">
        <f t="shared" si="39"/>
        <v>80.19999999999942</v>
      </c>
      <c r="N428" s="4">
        <f t="shared" si="38"/>
        <v>2.468827930174653</v>
      </c>
    </row>
    <row r="429" spans="10:14" ht="12.75">
      <c r="J429" s="4">
        <f t="shared" si="35"/>
        <v>1.0468710904658198</v>
      </c>
      <c r="K429" s="4">
        <f t="shared" si="36"/>
        <v>1.5389382566573353</v>
      </c>
      <c r="L429" s="4">
        <f t="shared" si="37"/>
        <v>3.0522349928324486</v>
      </c>
      <c r="M429" s="4">
        <f t="shared" si="39"/>
        <v>80.29999999999941</v>
      </c>
      <c r="N429" s="4">
        <f t="shared" si="38"/>
        <v>2.453300124533092</v>
      </c>
    </row>
    <row r="430" spans="10:14" ht="12.75">
      <c r="J430" s="4">
        <f t="shared" si="35"/>
        <v>1.0526062849334883</v>
      </c>
      <c r="K430" s="4">
        <f t="shared" si="36"/>
        <v>1.5458803158842815</v>
      </c>
      <c r="L430" s="4">
        <f t="shared" si="37"/>
        <v>3.0616288368617766</v>
      </c>
      <c r="M430" s="4">
        <f t="shared" si="39"/>
        <v>80.39999999999941</v>
      </c>
      <c r="N430" s="4">
        <f t="shared" si="38"/>
        <v>2.437810945273723</v>
      </c>
    </row>
    <row r="431" spans="10:14" ht="12.75">
      <c r="J431" s="4">
        <f t="shared" si="35"/>
        <v>1.0583618854637078</v>
      </c>
      <c r="K431" s="4">
        <f t="shared" si="36"/>
        <v>1.552841158014613</v>
      </c>
      <c r="L431" s="4">
        <f t="shared" si="37"/>
        <v>3.0710347630685817</v>
      </c>
      <c r="M431" s="4">
        <f t="shared" si="39"/>
        <v>80.4999999999994</v>
      </c>
      <c r="N431" s="4">
        <f t="shared" si="38"/>
        <v>2.4223602484472977</v>
      </c>
    </row>
    <row r="432" spans="10:14" ht="12.75">
      <c r="J432" s="4">
        <f t="shared" si="35"/>
        <v>1.0641379637163815</v>
      </c>
      <c r="K432" s="4">
        <f t="shared" si="36"/>
        <v>1.55982083119573</v>
      </c>
      <c r="L432" s="4">
        <f t="shared" si="37"/>
        <v>3.0804527795204577</v>
      </c>
      <c r="M432" s="4">
        <f t="shared" si="39"/>
        <v>80.5999999999994</v>
      </c>
      <c r="N432" s="4">
        <f t="shared" si="38"/>
        <v>2.4069478908189517</v>
      </c>
    </row>
    <row r="433" spans="10:14" ht="12.75">
      <c r="J433" s="4">
        <f t="shared" si="35"/>
        <v>1.0699345918357583</v>
      </c>
      <c r="K433" s="4">
        <f t="shared" si="36"/>
        <v>1.566819383852734</v>
      </c>
      <c r="L433" s="4">
        <f t="shared" si="37"/>
        <v>3.089882894350953</v>
      </c>
      <c r="M433" s="4">
        <f t="shared" si="39"/>
        <v>80.69999999999939</v>
      </c>
      <c r="N433" s="4">
        <f t="shared" si="38"/>
        <v>2.3915737298637865</v>
      </c>
    </row>
    <row r="434" spans="10:14" ht="12.75">
      <c r="J434" s="4">
        <f t="shared" si="35"/>
        <v>1.0757518424534154</v>
      </c>
      <c r="K434" s="4">
        <f t="shared" si="36"/>
        <v>1.5738368646895364</v>
      </c>
      <c r="L434" s="4">
        <f t="shared" si="37"/>
        <v>3.099325115759429</v>
      </c>
      <c r="M434" s="4">
        <f t="shared" si="39"/>
        <v>80.79999999999939</v>
      </c>
      <c r="N434" s="4">
        <f t="shared" si="38"/>
        <v>2.3762376237624707</v>
      </c>
    </row>
    <row r="435" spans="10:14" ht="12.75">
      <c r="J435" s="4">
        <f t="shared" si="35"/>
        <v>1.0815897886912644</v>
      </c>
      <c r="K435" s="4">
        <f t="shared" si="36"/>
        <v>1.5808733226899774</v>
      </c>
      <c r="L435" s="4">
        <f t="shared" si="37"/>
        <v>3.1087794520109204</v>
      </c>
      <c r="M435" s="4">
        <f t="shared" si="39"/>
        <v>80.89999999999938</v>
      </c>
      <c r="N435" s="4">
        <f t="shared" si="38"/>
        <v>2.360939431396881</v>
      </c>
    </row>
    <row r="436" spans="10:14" ht="12.75">
      <c r="J436" s="4">
        <f t="shared" si="35"/>
        <v>1.0874485041645903</v>
      </c>
      <c r="K436" s="4">
        <f t="shared" si="36"/>
        <v>1.5879288071189517</v>
      </c>
      <c r="L436" s="4">
        <f t="shared" si="37"/>
        <v>3.1182459114359897</v>
      </c>
      <c r="M436" s="4">
        <f t="shared" si="39"/>
        <v>80.99999999999937</v>
      </c>
      <c r="N436" s="4">
        <f t="shared" si="38"/>
        <v>2.3456790123457747</v>
      </c>
    </row>
    <row r="437" spans="10:14" ht="12.75">
      <c r="J437" s="4">
        <f t="shared" si="35"/>
        <v>1.0933280629851203</v>
      </c>
      <c r="K437" s="4">
        <f t="shared" si="36"/>
        <v>1.5950033675235509</v>
      </c>
      <c r="L437" s="4">
        <f t="shared" si="37"/>
        <v>3.1277245024305973</v>
      </c>
      <c r="M437" s="4">
        <f t="shared" si="39"/>
        <v>81.09999999999937</v>
      </c>
      <c r="N437" s="4">
        <f t="shared" si="38"/>
        <v>2.330456226880491</v>
      </c>
    </row>
    <row r="438" spans="10:14" ht="12.75">
      <c r="J438" s="4">
        <f t="shared" si="35"/>
        <v>1.0992285397641208</v>
      </c>
      <c r="K438" s="4">
        <f t="shared" si="36"/>
        <v>1.6020970537342085</v>
      </c>
      <c r="L438" s="4">
        <f t="shared" si="37"/>
        <v>3.137215233455959</v>
      </c>
      <c r="M438" s="4">
        <f t="shared" si="39"/>
        <v>81.19999999999936</v>
      </c>
      <c r="N438" s="4">
        <f t="shared" si="38"/>
        <v>2.3152709359606884</v>
      </c>
    </row>
    <row r="439" spans="10:14" ht="12.75">
      <c r="J439" s="4">
        <f aca="true" t="shared" si="40" ref="J439:J502">IF(D$2&gt;0.2*($N439),(D$2-0.2*($N439))^2/(D$2+0.8*($N439)),0)</f>
        <v>1.1051500096155258</v>
      </c>
      <c r="K439" s="4">
        <f aca="true" t="shared" si="41" ref="K439:K502">IF(E$2&gt;0.2*($N439),(E$2-0.2*($N439))^2/(E$2+0.8*($N439)),0)</f>
        <v>1.6092099158658653</v>
      </c>
      <c r="L439" s="4">
        <f aca="true" t="shared" si="42" ref="L439:L502">IF(F$2&gt;0.2*($N439),(F$2-0.2*($N439))^2/(F$2+0.8*($N439)),0)</f>
        <v>3.1467181130384154</v>
      </c>
      <c r="M439" s="4">
        <f t="shared" si="39"/>
        <v>81.29999999999936</v>
      </c>
      <c r="N439" s="4">
        <f aca="true" t="shared" si="43" ref="N439:N502">IF(M439&gt;0,1000/M439-10,1000)</f>
        <v>2.3001230012301086</v>
      </c>
    </row>
    <row r="440" spans="10:14" ht="12.75">
      <c r="J440" s="4">
        <f t="shared" si="40"/>
        <v>1.1110925481590892</v>
      </c>
      <c r="K440" s="4">
        <f t="shared" si="41"/>
        <v>1.6163420043191339</v>
      </c>
      <c r="L440" s="4">
        <f t="shared" si="42"/>
        <v>3.156233149769293</v>
      </c>
      <c r="M440" s="4">
        <f aca="true" t="shared" si="44" ref="M440:M503">M439+0.1</f>
        <v>81.39999999999935</v>
      </c>
      <c r="N440" s="4">
        <f t="shared" si="43"/>
        <v>2.2850122850123835</v>
      </c>
    </row>
    <row r="441" spans="10:14" ht="12.75">
      <c r="J441" s="4">
        <f t="shared" si="40"/>
        <v>1.1170562315235857</v>
      </c>
      <c r="K441" s="4">
        <f t="shared" si="41"/>
        <v>1.6234933697814866</v>
      </c>
      <c r="L441" s="4">
        <f t="shared" si="42"/>
        <v>3.165760352304787</v>
      </c>
      <c r="M441" s="4">
        <f t="shared" si="44"/>
        <v>81.49999999999935</v>
      </c>
      <c r="N441" s="4">
        <f t="shared" si="43"/>
        <v>2.2699386503068464</v>
      </c>
    </row>
    <row r="442" spans="10:14" ht="12.75">
      <c r="J442" s="4">
        <f t="shared" si="40"/>
        <v>1.1230411363500168</v>
      </c>
      <c r="K442" s="4">
        <f t="shared" si="41"/>
        <v>1.6306640632284404</v>
      </c>
      <c r="L442" s="4">
        <f t="shared" si="42"/>
        <v>3.1752997293658134</v>
      </c>
      <c r="M442" s="4">
        <f t="shared" si="44"/>
        <v>81.59999999999934</v>
      </c>
      <c r="N442" s="4">
        <f t="shared" si="43"/>
        <v>2.2549019607844123</v>
      </c>
    </row>
    <row r="443" spans="10:14" ht="12.75">
      <c r="J443" s="4">
        <f t="shared" si="40"/>
        <v>1.1290473397948704</v>
      </c>
      <c r="K443" s="4">
        <f t="shared" si="41"/>
        <v>1.6378541359247647</v>
      </c>
      <c r="L443" s="4">
        <f t="shared" si="42"/>
        <v>3.184851289737899</v>
      </c>
      <c r="M443" s="4">
        <f t="shared" si="44"/>
        <v>81.69999999999933</v>
      </c>
      <c r="N443" s="4">
        <f t="shared" si="43"/>
        <v>2.2399020807834535</v>
      </c>
    </row>
    <row r="444" spans="10:14" ht="12.75">
      <c r="J444" s="4">
        <f t="shared" si="40"/>
        <v>1.1350749195334016</v>
      </c>
      <c r="K444" s="4">
        <f t="shared" si="41"/>
        <v>1.6450636394256954</v>
      </c>
      <c r="L444" s="4">
        <f t="shared" si="42"/>
        <v>3.194415042271048</v>
      </c>
      <c r="M444" s="4">
        <f t="shared" si="44"/>
        <v>81.79999999999933</v>
      </c>
      <c r="N444" s="4">
        <f t="shared" si="43"/>
        <v>2.224938875305723</v>
      </c>
    </row>
    <row r="445" spans="10:14" ht="12.75">
      <c r="J445" s="4">
        <f t="shared" si="40"/>
        <v>1.1411239537629423</v>
      </c>
      <c r="K445" s="4">
        <f t="shared" si="41"/>
        <v>1.6522926255781565</v>
      </c>
      <c r="L445" s="4">
        <f t="shared" si="42"/>
        <v>3.2039909958796158</v>
      </c>
      <c r="M445" s="4">
        <f t="shared" si="44"/>
        <v>81.89999999999932</v>
      </c>
      <c r="N445" s="4">
        <f t="shared" si="43"/>
        <v>2.2100122100123105</v>
      </c>
    </row>
    <row r="446" spans="10:14" ht="12.75">
      <c r="J446" s="4">
        <f t="shared" si="40"/>
        <v>1.1471945212062542</v>
      </c>
      <c r="K446" s="4">
        <f t="shared" si="41"/>
        <v>1.659541146521996</v>
      </c>
      <c r="L446" s="4">
        <f t="shared" si="42"/>
        <v>3.213579159542193</v>
      </c>
      <c r="M446" s="4">
        <f t="shared" si="44"/>
        <v>81.99999999999932</v>
      </c>
      <c r="N446" s="4">
        <f t="shared" si="43"/>
        <v>2.1951219512196136</v>
      </c>
    </row>
    <row r="447" spans="10:14" ht="12.75">
      <c r="J447" s="4">
        <f t="shared" si="40"/>
        <v>1.1532867011149028</v>
      </c>
      <c r="K447" s="4">
        <f t="shared" si="41"/>
        <v>1.6668092546912354</v>
      </c>
      <c r="L447" s="4">
        <f t="shared" si="42"/>
        <v>3.2231795423014806</v>
      </c>
      <c r="M447" s="4">
        <f t="shared" si="44"/>
        <v>82.09999999999931</v>
      </c>
      <c r="N447" s="4">
        <f t="shared" si="43"/>
        <v>2.180267965895352</v>
      </c>
    </row>
    <row r="448" spans="10:14" ht="12.75">
      <c r="J448" s="4">
        <f t="shared" si="40"/>
        <v>1.1594005732726698</v>
      </c>
      <c r="K448" s="4">
        <f t="shared" si="41"/>
        <v>1.6740970028153261</v>
      </c>
      <c r="L448" s="4">
        <f t="shared" si="42"/>
        <v>3.2327921532641755</v>
      </c>
      <c r="M448" s="4">
        <f t="shared" si="44"/>
        <v>82.1999999999993</v>
      </c>
      <c r="N448" s="4">
        <f t="shared" si="43"/>
        <v>2.1654501216546045</v>
      </c>
    </row>
    <row r="449" spans="10:14" ht="12.75">
      <c r="J449" s="4">
        <f t="shared" si="40"/>
        <v>1.1655362179989972</v>
      </c>
      <c r="K449" s="4">
        <f t="shared" si="41"/>
        <v>1.6814044439204159</v>
      </c>
      <c r="L449" s="4">
        <f t="shared" si="42"/>
        <v>3.2424170016008502</v>
      </c>
      <c r="M449" s="4">
        <f t="shared" si="44"/>
        <v>82.2999999999993</v>
      </c>
      <c r="N449" s="4">
        <f t="shared" si="43"/>
        <v>2.1506682867558755</v>
      </c>
    </row>
    <row r="450" spans="10:14" ht="12.75">
      <c r="J450" s="4">
        <f t="shared" si="40"/>
        <v>1.1716937161524656</v>
      </c>
      <c r="K450" s="4">
        <f t="shared" si="41"/>
        <v>1.6887316313306353</v>
      </c>
      <c r="L450" s="4">
        <f t="shared" si="42"/>
        <v>3.2520540965458364</v>
      </c>
      <c r="M450" s="4">
        <f t="shared" si="44"/>
        <v>82.3999999999993</v>
      </c>
      <c r="N450" s="4">
        <f t="shared" si="43"/>
        <v>2.1359223300971912</v>
      </c>
    </row>
    <row r="451" spans="10:14" ht="12.75">
      <c r="J451" s="4">
        <f t="shared" si="40"/>
        <v>1.1778731491343042</v>
      </c>
      <c r="K451" s="4">
        <f t="shared" si="41"/>
        <v>1.69607861866938</v>
      </c>
      <c r="L451" s="4">
        <f t="shared" si="42"/>
        <v>3.2617034473971165</v>
      </c>
      <c r="M451" s="4">
        <f t="shared" si="44"/>
        <v>82.49999999999929</v>
      </c>
      <c r="N451" s="4">
        <f t="shared" si="43"/>
        <v>2.121212121212226</v>
      </c>
    </row>
    <row r="452" spans="10:14" ht="12.75">
      <c r="J452" s="4">
        <f t="shared" si="40"/>
        <v>1.184074598891938</v>
      </c>
      <c r="K452" s="4">
        <f t="shared" si="41"/>
        <v>1.7034454598606228</v>
      </c>
      <c r="L452" s="4">
        <f t="shared" si="42"/>
        <v>3.2713650635162064</v>
      </c>
      <c r="M452" s="4">
        <f t="shared" si="44"/>
        <v>82.59999999999928</v>
      </c>
      <c r="N452" s="4">
        <f t="shared" si="43"/>
        <v>2.106537530266449</v>
      </c>
    </row>
    <row r="453" spans="10:14" ht="12.75">
      <c r="J453" s="4">
        <f t="shared" si="40"/>
        <v>1.190298147922563</v>
      </c>
      <c r="K453" s="4">
        <f t="shared" si="41"/>
        <v>1.7108322091302235</v>
      </c>
      <c r="L453" s="4">
        <f t="shared" si="42"/>
        <v>3.281038954328047</v>
      </c>
      <c r="M453" s="4">
        <f t="shared" si="44"/>
        <v>82.69999999999928</v>
      </c>
      <c r="N453" s="4">
        <f t="shared" si="43"/>
        <v>2.0918984280533106</v>
      </c>
    </row>
    <row r="454" spans="10:14" ht="12.75">
      <c r="J454" s="4">
        <f t="shared" si="40"/>
        <v>1.1965438792767666</v>
      </c>
      <c r="K454" s="4">
        <f t="shared" si="41"/>
        <v>1.718238921007256</v>
      </c>
      <c r="L454" s="4">
        <f t="shared" si="42"/>
        <v>3.2907251293208994</v>
      </c>
      <c r="M454" s="4">
        <f t="shared" si="44"/>
        <v>82.79999999999927</v>
      </c>
      <c r="N454" s="4">
        <f t="shared" si="43"/>
        <v>2.077294685990445</v>
      </c>
    </row>
    <row r="455" spans="10:14" ht="12.75">
      <c r="J455" s="4">
        <f t="shared" si="40"/>
        <v>1.2028118765621703</v>
      </c>
      <c r="K455" s="4">
        <f t="shared" si="41"/>
        <v>1.7256656503253425</v>
      </c>
      <c r="L455" s="4">
        <f t="shared" si="42"/>
        <v>3.300423598046231</v>
      </c>
      <c r="M455" s="4">
        <f t="shared" si="44"/>
        <v>82.89999999999927</v>
      </c>
      <c r="N455" s="4">
        <f t="shared" si="43"/>
        <v>2.062726176115909</v>
      </c>
    </row>
    <row r="456" spans="10:14" ht="12.75">
      <c r="J456" s="4">
        <f t="shared" si="40"/>
        <v>1.2091022239471167</v>
      </c>
      <c r="K456" s="4">
        <f t="shared" si="41"/>
        <v>1.7331124522240084</v>
      </c>
      <c r="L456" s="4">
        <f t="shared" si="42"/>
        <v>3.310134370118615</v>
      </c>
      <c r="M456" s="4">
        <f t="shared" si="44"/>
        <v>82.99999999999926</v>
      </c>
      <c r="N456" s="4">
        <f t="shared" si="43"/>
        <v>2.0481927710844445</v>
      </c>
    </row>
    <row r="457" spans="10:14" ht="12.75">
      <c r="J457" s="4">
        <f t="shared" si="40"/>
        <v>1.2154150061643891</v>
      </c>
      <c r="K457" s="4">
        <f t="shared" si="41"/>
        <v>1.7405793821500368</v>
      </c>
      <c r="L457" s="4">
        <f t="shared" si="42"/>
        <v>3.319857455215622</v>
      </c>
      <c r="M457" s="4">
        <f t="shared" si="44"/>
        <v>83.09999999999926</v>
      </c>
      <c r="N457" s="4">
        <f t="shared" si="43"/>
        <v>2.0336943441637665</v>
      </c>
    </row>
    <row r="458" spans="10:14" ht="12.75">
      <c r="J458" s="4">
        <f t="shared" si="40"/>
        <v>1.2217503085149666</v>
      </c>
      <c r="K458" s="4">
        <f t="shared" si="41"/>
        <v>1.7480664958588479</v>
      </c>
      <c r="L458" s="4">
        <f t="shared" si="42"/>
        <v>3.3295928630777247</v>
      </c>
      <c r="M458" s="4">
        <f t="shared" si="44"/>
        <v>83.19999999999925</v>
      </c>
      <c r="N458" s="4">
        <f t="shared" si="43"/>
        <v>2.0192307692308784</v>
      </c>
    </row>
    <row r="459" spans="10:14" ht="12.75">
      <c r="J459" s="4">
        <f t="shared" si="40"/>
        <v>1.2281082168718165</v>
      </c>
      <c r="K459" s="4">
        <f t="shared" si="41"/>
        <v>1.7555738494158768</v>
      </c>
      <c r="L459" s="4">
        <f t="shared" si="42"/>
        <v>3.339340603508191</v>
      </c>
      <c r="M459" s="4">
        <f t="shared" si="44"/>
        <v>83.29999999999924</v>
      </c>
      <c r="N459" s="4">
        <f t="shared" si="43"/>
        <v>2.0048019207684167</v>
      </c>
    </row>
    <row r="460" spans="10:14" ht="12.75">
      <c r="J460" s="4">
        <f t="shared" si="40"/>
        <v>1.2344888176837223</v>
      </c>
      <c r="K460" s="4">
        <f t="shared" si="41"/>
        <v>1.7631014991979734</v>
      </c>
      <c r="L460" s="4">
        <f t="shared" si="42"/>
        <v>3.349100686372987</v>
      </c>
      <c r="M460" s="4">
        <f t="shared" si="44"/>
        <v>83.39999999999924</v>
      </c>
      <c r="N460" s="4">
        <f t="shared" si="43"/>
        <v>1.9904076738610215</v>
      </c>
    </row>
    <row r="461" spans="10:14" ht="12.75">
      <c r="J461" s="4">
        <f t="shared" si="40"/>
        <v>1.2408921979791498</v>
      </c>
      <c r="K461" s="4">
        <f t="shared" si="41"/>
        <v>1.77064950189481</v>
      </c>
      <c r="L461" s="4">
        <f t="shared" si="42"/>
        <v>3.35887312160068</v>
      </c>
      <c r="M461" s="4">
        <f t="shared" si="44"/>
        <v>83.49999999999923</v>
      </c>
      <c r="N461" s="4">
        <f t="shared" si="43"/>
        <v>1.9760479041917272</v>
      </c>
    </row>
    <row r="462" spans="10:14" ht="12.75">
      <c r="J462" s="4">
        <f t="shared" si="40"/>
        <v>1.2473184453701482</v>
      </c>
      <c r="K462" s="4">
        <f t="shared" si="41"/>
        <v>1.7782179145103023</v>
      </c>
      <c r="L462" s="4">
        <f t="shared" si="42"/>
        <v>3.368657919182342</v>
      </c>
      <c r="M462" s="4">
        <f t="shared" si="44"/>
        <v>83.59999999999923</v>
      </c>
      <c r="N462" s="4">
        <f t="shared" si="43"/>
        <v>1.9617224880383883</v>
      </c>
    </row>
    <row r="463" spans="10:14" ht="12.75">
      <c r="J463" s="4">
        <f t="shared" si="40"/>
        <v>1.2537676480562934</v>
      </c>
      <c r="K463" s="4">
        <f t="shared" si="41"/>
        <v>1.7858067943640408</v>
      </c>
      <c r="L463" s="4">
        <f t="shared" si="42"/>
        <v>3.378455089171452</v>
      </c>
      <c r="M463" s="4">
        <f t="shared" si="44"/>
        <v>83.69999999999922</v>
      </c>
      <c r="N463" s="4">
        <f t="shared" si="43"/>
        <v>1.9474313022701235</v>
      </c>
    </row>
    <row r="464" spans="10:14" ht="12.75">
      <c r="J464" s="4">
        <f t="shared" si="40"/>
        <v>1.2602398948286655</v>
      </c>
      <c r="K464" s="4">
        <f t="shared" si="41"/>
        <v>1.7934161990927362</v>
      </c>
      <c r="L464" s="4">
        <f t="shared" si="42"/>
        <v>3.388264641683811</v>
      </c>
      <c r="M464" s="4">
        <f t="shared" si="44"/>
        <v>83.79999999999922</v>
      </c>
      <c r="N464" s="4">
        <f t="shared" si="43"/>
        <v>1.9331742243437873</v>
      </c>
    </row>
    <row r="465" spans="10:14" ht="12.75">
      <c r="J465" s="4">
        <f t="shared" si="40"/>
        <v>1.2667352750738643</v>
      </c>
      <c r="K465" s="4">
        <f t="shared" si="41"/>
        <v>1.801046186651677</v>
      </c>
      <c r="L465" s="4">
        <f t="shared" si="42"/>
        <v>3.3980865868974415</v>
      </c>
      <c r="M465" s="4">
        <f t="shared" si="44"/>
        <v>83.89999999999921</v>
      </c>
      <c r="N465" s="4">
        <f t="shared" si="43"/>
        <v>1.918951132300469</v>
      </c>
    </row>
    <row r="466" spans="10:14" ht="12.75">
      <c r="J466" s="4">
        <f t="shared" si="40"/>
        <v>1.273253878778066</v>
      </c>
      <c r="K466" s="4">
        <f t="shared" si="41"/>
        <v>1.8086968153161975</v>
      </c>
      <c r="L466" s="4">
        <f t="shared" si="42"/>
        <v>3.407920935052502</v>
      </c>
      <c r="M466" s="4">
        <f t="shared" si="44"/>
        <v>83.9999999999992</v>
      </c>
      <c r="N466" s="4">
        <f t="shared" si="43"/>
        <v>1.904761904762017</v>
      </c>
    </row>
    <row r="467" spans="10:14" ht="12.75">
      <c r="J467" s="4">
        <f t="shared" si="40"/>
        <v>1.2797957965311206</v>
      </c>
      <c r="K467" s="4">
        <f t="shared" si="41"/>
        <v>1.8163681436831614</v>
      </c>
      <c r="L467" s="4">
        <f t="shared" si="42"/>
        <v>3.4177676964512007</v>
      </c>
      <c r="M467" s="4">
        <f t="shared" si="44"/>
        <v>84.0999999999992</v>
      </c>
      <c r="N467" s="4">
        <f t="shared" si="43"/>
        <v>1.8906064209275808</v>
      </c>
    </row>
    <row r="468" spans="10:14" ht="12.75">
      <c r="J468" s="4">
        <f t="shared" si="40"/>
        <v>1.2863611195306834</v>
      </c>
      <c r="K468" s="4">
        <f t="shared" si="41"/>
        <v>1.824060230672454</v>
      </c>
      <c r="L468" s="4">
        <f t="shared" si="42"/>
        <v>3.4276268814577042</v>
      </c>
      <c r="M468" s="4">
        <f t="shared" si="44"/>
        <v>84.19999999999919</v>
      </c>
      <c r="N468" s="4">
        <f t="shared" si="43"/>
        <v>1.8764845605701854</v>
      </c>
    </row>
    <row r="469" spans="10:14" ht="12.75">
      <c r="J469" s="4">
        <f t="shared" si="40"/>
        <v>1.2929499395863921</v>
      </c>
      <c r="K469" s="4">
        <f t="shared" si="41"/>
        <v>1.8317731355284934</v>
      </c>
      <c r="L469" s="4">
        <f t="shared" si="42"/>
        <v>3.437498500498055</v>
      </c>
      <c r="M469" s="4">
        <f t="shared" si="44"/>
        <v>84.29999999999919</v>
      </c>
      <c r="N469" s="4">
        <f t="shared" si="43"/>
        <v>1.8623962040333293</v>
      </c>
    </row>
    <row r="470" spans="10:14" ht="12.75">
      <c r="J470" s="4">
        <f t="shared" si="40"/>
        <v>1.2995623491240793</v>
      </c>
      <c r="K470" s="4">
        <f t="shared" si="41"/>
        <v>1.839506917821744</v>
      </c>
      <c r="L470" s="4">
        <f t="shared" si="42"/>
        <v>3.4473825640600833</v>
      </c>
      <c r="M470" s="4">
        <f t="shared" si="44"/>
        <v>84.39999999999918</v>
      </c>
      <c r="N470" s="4">
        <f t="shared" si="43"/>
        <v>1.8483412322276038</v>
      </c>
    </row>
    <row r="471" spans="10:14" ht="12.75">
      <c r="J471" s="4">
        <f t="shared" si="40"/>
        <v>1.306198441190031</v>
      </c>
      <c r="K471" s="4">
        <f t="shared" si="41"/>
        <v>1.847261637450255</v>
      </c>
      <c r="L471" s="4">
        <f t="shared" si="42"/>
        <v>3.4572790826933315</v>
      </c>
      <c r="M471" s="4">
        <f t="shared" si="44"/>
        <v>84.49999999999918</v>
      </c>
      <c r="N471" s="4">
        <f t="shared" si="43"/>
        <v>1.8343195266273344</v>
      </c>
    </row>
    <row r="472" spans="10:14" ht="12.75">
      <c r="J472" s="4">
        <f t="shared" si="40"/>
        <v>1.312858309455282</v>
      </c>
      <c r="K472" s="4">
        <f t="shared" si="41"/>
        <v>1.855037354641202</v>
      </c>
      <c r="L472" s="4">
        <f t="shared" si="42"/>
        <v>3.467188067008964</v>
      </c>
      <c r="M472" s="4">
        <f t="shared" si="44"/>
        <v>84.59999999999917</v>
      </c>
      <c r="N472" s="4">
        <f t="shared" si="43"/>
        <v>1.8203309692672551</v>
      </c>
    </row>
    <row r="473" spans="10:14" ht="12.75">
      <c r="J473" s="4">
        <f t="shared" si="40"/>
        <v>1.3195420482199536</v>
      </c>
      <c r="K473" s="4">
        <f t="shared" si="41"/>
        <v>1.8628341299524471</v>
      </c>
      <c r="L473" s="4">
        <f t="shared" si="42"/>
        <v>3.477109527679697</v>
      </c>
      <c r="M473" s="4">
        <f t="shared" si="44"/>
        <v>84.69999999999916</v>
      </c>
      <c r="N473" s="4">
        <f t="shared" si="43"/>
        <v>1.8063754427391956</v>
      </c>
    </row>
    <row r="474" spans="10:14" ht="12.75">
      <c r="J474" s="4">
        <f t="shared" si="40"/>
        <v>1.3262497524176382</v>
      </c>
      <c r="K474" s="4">
        <f t="shared" si="41"/>
        <v>1.870652024274108</v>
      </c>
      <c r="L474" s="4">
        <f t="shared" si="42"/>
        <v>3.487043475439713</v>
      </c>
      <c r="M474" s="4">
        <f t="shared" si="44"/>
        <v>84.79999999999916</v>
      </c>
      <c r="N474" s="4">
        <f t="shared" si="43"/>
        <v>1.7924528301887968</v>
      </c>
    </row>
    <row r="475" spans="10:14" ht="12.75">
      <c r="J475" s="4">
        <f t="shared" si="40"/>
        <v>1.3329815176198192</v>
      </c>
      <c r="K475" s="4">
        <f t="shared" si="41"/>
        <v>1.878491098830148</v>
      </c>
      <c r="L475" s="4">
        <f t="shared" si="42"/>
        <v>3.4969899210845883</v>
      </c>
      <c r="M475" s="4">
        <f t="shared" si="44"/>
        <v>84.89999999999915</v>
      </c>
      <c r="N475" s="4">
        <f t="shared" si="43"/>
        <v>1.7785630153122494</v>
      </c>
    </row>
    <row r="476" spans="10:14" ht="12.75">
      <c r="J476" s="4">
        <f t="shared" si="40"/>
        <v>1.3397374400403361</v>
      </c>
      <c r="K476" s="4">
        <f t="shared" si="41"/>
        <v>1.8863514151799643</v>
      </c>
      <c r="L476" s="4">
        <f t="shared" si="42"/>
        <v>3.5069488754712155</v>
      </c>
      <c r="M476" s="4">
        <f t="shared" si="44"/>
        <v>84.99999999999915</v>
      </c>
      <c r="N476" s="4">
        <f t="shared" si="43"/>
        <v>1.7647058823530593</v>
      </c>
    </row>
    <row r="477" spans="10:14" ht="12.75">
      <c r="J477" s="4">
        <f t="shared" si="40"/>
        <v>1.3465176165398969</v>
      </c>
      <c r="K477" s="4">
        <f t="shared" si="41"/>
        <v>1.8942330352200074</v>
      </c>
      <c r="L477" s="4">
        <f t="shared" si="42"/>
        <v>3.5169203495177284</v>
      </c>
      <c r="M477" s="4">
        <f t="shared" si="44"/>
        <v>85.09999999999914</v>
      </c>
      <c r="N477" s="4">
        <f t="shared" si="43"/>
        <v>1.7508813160988268</v>
      </c>
    </row>
    <row r="478" spans="10:14" ht="12.75">
      <c r="J478" s="4">
        <f t="shared" si="40"/>
        <v>1.3533221446306307</v>
      </c>
      <c r="K478" s="4">
        <f t="shared" si="41"/>
        <v>1.902136021185404</v>
      </c>
      <c r="L478" s="4">
        <f t="shared" si="42"/>
        <v>3.526904354203434</v>
      </c>
      <c r="M478" s="4">
        <f t="shared" si="44"/>
        <v>85.19999999999914</v>
      </c>
      <c r="N478" s="4">
        <f t="shared" si="43"/>
        <v>1.737089201878053</v>
      </c>
    </row>
    <row r="479" spans="10:14" ht="12.75">
      <c r="J479" s="4">
        <f t="shared" si="40"/>
        <v>1.3601511224806806</v>
      </c>
      <c r="K479" s="4">
        <f t="shared" si="41"/>
        <v>1.9100604356515882</v>
      </c>
      <c r="L479" s="4">
        <f t="shared" si="42"/>
        <v>3.5369009005687357</v>
      </c>
      <c r="M479" s="4">
        <f t="shared" si="44"/>
        <v>85.29999999999913</v>
      </c>
      <c r="N479" s="4">
        <f t="shared" si="43"/>
        <v>1.7233294255569778</v>
      </c>
    </row>
    <row r="480" spans="10:14" ht="12.75">
      <c r="J480" s="4">
        <f t="shared" si="40"/>
        <v>1.3670046489188532</v>
      </c>
      <c r="K480" s="4">
        <f t="shared" si="41"/>
        <v>1.9180063415359632</v>
      </c>
      <c r="L480" s="4">
        <f t="shared" si="42"/>
        <v>3.546909999715067</v>
      </c>
      <c r="M480" s="4">
        <f t="shared" si="44"/>
        <v>85.39999999999912</v>
      </c>
      <c r="N480" s="4">
        <f t="shared" si="43"/>
        <v>1.7096018735364193</v>
      </c>
    </row>
    <row r="481" spans="10:14" ht="12.75">
      <c r="J481" s="4">
        <f t="shared" si="40"/>
        <v>1.3738828234392975</v>
      </c>
      <c r="K481" s="4">
        <f t="shared" si="41"/>
        <v>1.9259738020995543</v>
      </c>
      <c r="L481" s="4">
        <f t="shared" si="42"/>
        <v>3.5569316628048218</v>
      </c>
      <c r="M481" s="4">
        <f t="shared" si="44"/>
        <v>85.49999999999912</v>
      </c>
      <c r="N481" s="4">
        <f t="shared" si="43"/>
        <v>1.695906432748659</v>
      </c>
    </row>
    <row r="482" spans="10:14" ht="12.75">
      <c r="J482" s="4">
        <f t="shared" si="40"/>
        <v>1.3807857462062454</v>
      </c>
      <c r="K482" s="4">
        <f t="shared" si="41"/>
        <v>1.9339628809487004</v>
      </c>
      <c r="L482" s="4">
        <f t="shared" si="42"/>
        <v>3.566965901061288</v>
      </c>
      <c r="M482" s="4">
        <f t="shared" si="44"/>
        <v>85.59999999999911</v>
      </c>
      <c r="N482" s="4">
        <f t="shared" si="43"/>
        <v>1.682242990654327</v>
      </c>
    </row>
    <row r="483" spans="10:14" ht="12.75">
      <c r="J483" s="4">
        <f t="shared" si="40"/>
        <v>1.3877135180587843</v>
      </c>
      <c r="K483" s="4">
        <f t="shared" si="41"/>
        <v>1.9419736420367362</v>
      </c>
      <c r="L483" s="4">
        <f t="shared" si="42"/>
        <v>3.577012725768583</v>
      </c>
      <c r="M483" s="4">
        <f t="shared" si="44"/>
        <v>85.69999999999911</v>
      </c>
      <c r="N483" s="4">
        <f t="shared" si="43"/>
        <v>1.6686114352393275</v>
      </c>
    </row>
    <row r="484" spans="10:14" ht="12.75">
      <c r="J484" s="4">
        <f t="shared" si="40"/>
        <v>1.3946662405156833</v>
      </c>
      <c r="K484" s="4">
        <f t="shared" si="41"/>
        <v>1.950006149665704</v>
      </c>
      <c r="L484" s="4">
        <f t="shared" si="42"/>
        <v>3.5870721482715835</v>
      </c>
      <c r="M484" s="4">
        <f t="shared" si="44"/>
        <v>85.7999999999991</v>
      </c>
      <c r="N484" s="4">
        <f t="shared" si="43"/>
        <v>1.6550116550117764</v>
      </c>
    </row>
    <row r="485" spans="10:14" ht="12.75">
      <c r="J485" s="4">
        <f t="shared" si="40"/>
        <v>1.4016440157802679</v>
      </c>
      <c r="K485" s="4">
        <f t="shared" si="41"/>
        <v>1.958060468488071</v>
      </c>
      <c r="L485" s="4">
        <f t="shared" si="42"/>
        <v>3.5971441799758694</v>
      </c>
      <c r="M485" s="4">
        <f t="shared" si="44"/>
        <v>85.8999999999991</v>
      </c>
      <c r="N485" s="4">
        <f t="shared" si="43"/>
        <v>1.6414435389989581</v>
      </c>
    </row>
    <row r="486" spans="10:14" ht="12.75">
      <c r="J486" s="4">
        <f t="shared" si="40"/>
        <v>1.4086469467453382</v>
      </c>
      <c r="K486" s="4">
        <f t="shared" si="41"/>
        <v>1.966136663508467</v>
      </c>
      <c r="L486" s="4">
        <f t="shared" si="42"/>
        <v>3.60722883234766</v>
      </c>
      <c r="M486" s="4">
        <f t="shared" si="44"/>
        <v>85.99999999999909</v>
      </c>
      <c r="N486" s="4">
        <f t="shared" si="43"/>
        <v>1.6279069767443097</v>
      </c>
    </row>
    <row r="487" spans="10:14" ht="12.75">
      <c r="J487" s="4">
        <f t="shared" si="40"/>
        <v>1.4156751369981375</v>
      </c>
      <c r="K487" s="4">
        <f t="shared" si="41"/>
        <v>1.974234800085433</v>
      </c>
      <c r="L487" s="4">
        <f t="shared" si="42"/>
        <v>3.617326116913753</v>
      </c>
      <c r="M487" s="4">
        <f t="shared" si="44"/>
        <v>86.09999999999908</v>
      </c>
      <c r="N487" s="4">
        <f t="shared" si="43"/>
        <v>1.6144018583044204</v>
      </c>
    </row>
    <row r="488" spans="10:14" ht="12.75">
      <c r="J488" s="4">
        <f t="shared" si="40"/>
        <v>1.4227286908253638</v>
      </c>
      <c r="K488" s="4">
        <f t="shared" si="41"/>
        <v>1.9823549439331805</v>
      </c>
      <c r="L488" s="4">
        <f t="shared" si="42"/>
        <v>3.627436045261462</v>
      </c>
      <c r="M488" s="4">
        <f t="shared" si="44"/>
        <v>86.19999999999908</v>
      </c>
      <c r="N488" s="4">
        <f t="shared" si="43"/>
        <v>1.6009280742460632</v>
      </c>
    </row>
    <row r="489" spans="10:14" ht="12.75">
      <c r="J489" s="4">
        <f t="shared" si="40"/>
        <v>1.4298077132182414</v>
      </c>
      <c r="K489" s="4">
        <f t="shared" si="41"/>
        <v>1.990497161123372</v>
      </c>
      <c r="L489" s="4">
        <f t="shared" si="42"/>
        <v>3.637558629038565</v>
      </c>
      <c r="M489" s="4">
        <f t="shared" si="44"/>
        <v>86.29999999999907</v>
      </c>
      <c r="N489" s="4">
        <f t="shared" si="43"/>
        <v>1.5874855156432304</v>
      </c>
    </row>
    <row r="490" spans="10:14" ht="12.75">
      <c r="J490" s="4">
        <f t="shared" si="40"/>
        <v>1.436912309877632</v>
      </c>
      <c r="K490" s="4">
        <f t="shared" si="41"/>
        <v>1.9986615180869145</v>
      </c>
      <c r="L490" s="4">
        <f t="shared" si="42"/>
        <v>3.6476938799532483</v>
      </c>
      <c r="M490" s="4">
        <f t="shared" si="44"/>
        <v>86.39999999999907</v>
      </c>
      <c r="N490" s="4">
        <f t="shared" si="43"/>
        <v>1.5740740740741987</v>
      </c>
    </row>
    <row r="491" spans="10:14" ht="12.75">
      <c r="J491" s="4">
        <f t="shared" si="40"/>
        <v>1.4440425872191982</v>
      </c>
      <c r="K491" s="4">
        <f t="shared" si="41"/>
        <v>2.0068480816157614</v>
      </c>
      <c r="L491" s="4">
        <f t="shared" si="42"/>
        <v>3.657841809774042</v>
      </c>
      <c r="M491" s="4">
        <f t="shared" si="44"/>
        <v>86.49999999999906</v>
      </c>
      <c r="N491" s="4">
        <f t="shared" si="43"/>
        <v>1.560693641618622</v>
      </c>
    </row>
    <row r="492" spans="10:14" ht="12.75">
      <c r="J492" s="4">
        <f t="shared" si="40"/>
        <v>1.4511986523786202</v>
      </c>
      <c r="K492" s="4">
        <f t="shared" si="41"/>
        <v>2.015056918864739</v>
      </c>
      <c r="L492" s="4">
        <f t="shared" si="42"/>
        <v>3.6680024303297736</v>
      </c>
      <c r="M492" s="4">
        <f t="shared" si="44"/>
        <v>86.59999999999906</v>
      </c>
      <c r="N492" s="4">
        <f t="shared" si="43"/>
        <v>1.5473441108546293</v>
      </c>
    </row>
    <row r="493" spans="10:14" ht="12.75">
      <c r="J493" s="4">
        <f t="shared" si="40"/>
        <v>1.4583806132168637</v>
      </c>
      <c r="K493" s="4">
        <f t="shared" si="41"/>
        <v>2.0232880973533796</v>
      </c>
      <c r="L493" s="4">
        <f t="shared" si="42"/>
        <v>3.678175753509518</v>
      </c>
      <c r="M493" s="4">
        <f t="shared" si="44"/>
        <v>86.69999999999905</v>
      </c>
      <c r="N493" s="4">
        <f t="shared" si="43"/>
        <v>1.5340253748559505</v>
      </c>
    </row>
    <row r="494" spans="10:14" ht="12.75">
      <c r="J494" s="4">
        <f t="shared" si="40"/>
        <v>1.4655885783254914</v>
      </c>
      <c r="K494" s="4">
        <f t="shared" si="41"/>
        <v>2.031541684967774</v>
      </c>
      <c r="L494" s="4">
        <f t="shared" si="42"/>
        <v>3.6883617912625386</v>
      </c>
      <c r="M494" s="4">
        <f t="shared" si="44"/>
        <v>86.79999999999905</v>
      </c>
      <c r="N494" s="4">
        <f t="shared" si="43"/>
        <v>1.5207373271890674</v>
      </c>
    </row>
    <row r="495" spans="10:14" ht="12.75">
      <c r="J495" s="4">
        <f t="shared" si="40"/>
        <v>1.4728226570320424</v>
      </c>
      <c r="K495" s="4">
        <f t="shared" si="41"/>
        <v>2.0398177499624364</v>
      </c>
      <c r="L495" s="4">
        <f t="shared" si="42"/>
        <v>3.6985605555982435</v>
      </c>
      <c r="M495" s="4">
        <f t="shared" si="44"/>
        <v>86.89999999999904</v>
      </c>
      <c r="N495" s="4">
        <f t="shared" si="43"/>
        <v>1.5074798619103689</v>
      </c>
    </row>
    <row r="496" spans="10:14" ht="12.75">
      <c r="J496" s="4">
        <f t="shared" si="40"/>
        <v>1.480082959405444</v>
      </c>
      <c r="K496" s="4">
        <f t="shared" si="41"/>
        <v>2.048116360962187</v>
      </c>
      <c r="L496" s="4">
        <f t="shared" si="42"/>
        <v>3.708772058586133</v>
      </c>
      <c r="M496" s="4">
        <f t="shared" si="44"/>
        <v>86.99999999999903</v>
      </c>
      <c r="N496" s="4">
        <f t="shared" si="43"/>
        <v>1.4942528735633456</v>
      </c>
    </row>
    <row r="497" spans="10:14" ht="12.75">
      <c r="J497" s="4">
        <f t="shared" si="40"/>
        <v>1.487369596261496</v>
      </c>
      <c r="K497" s="4">
        <f t="shared" si="41"/>
        <v>2.056437586964048</v>
      </c>
      <c r="L497" s="4">
        <f t="shared" si="42"/>
        <v>3.718996312355752</v>
      </c>
      <c r="M497" s="4">
        <f t="shared" si="44"/>
        <v>87.09999999999903</v>
      </c>
      <c r="N497" s="4">
        <f t="shared" si="43"/>
        <v>1.4810562571757888</v>
      </c>
    </row>
    <row r="498" spans="10:14" ht="12.75">
      <c r="J498" s="4">
        <f t="shared" si="40"/>
        <v>1.4946826791683967</v>
      </c>
      <c r="K498" s="4">
        <f t="shared" si="41"/>
        <v>2.064781497339154</v>
      </c>
      <c r="L498" s="4">
        <f t="shared" si="42"/>
        <v>3.7292333290966497</v>
      </c>
      <c r="M498" s="4">
        <f t="shared" si="44"/>
        <v>87.19999999999902</v>
      </c>
      <c r="N498" s="4">
        <f t="shared" si="43"/>
        <v>1.4678899082570087</v>
      </c>
    </row>
    <row r="499" spans="10:14" ht="12.75">
      <c r="J499" s="4">
        <f t="shared" si="40"/>
        <v>1.5020223204523253</v>
      </c>
      <c r="K499" s="4">
        <f t="shared" si="41"/>
        <v>2.0731481618346823</v>
      </c>
      <c r="L499" s="4">
        <f t="shared" si="42"/>
        <v>3.7394831210583237</v>
      </c>
      <c r="M499" s="4">
        <f t="shared" si="44"/>
        <v>87.29999999999902</v>
      </c>
      <c r="N499" s="4">
        <f t="shared" si="43"/>
        <v>1.4547537227950897</v>
      </c>
    </row>
    <row r="500" spans="10:14" ht="12.75">
      <c r="J500" s="4">
        <f t="shared" si="40"/>
        <v>1.5093886332030868</v>
      </c>
      <c r="K500" s="4">
        <f t="shared" si="41"/>
        <v>2.0815376505757963</v>
      </c>
      <c r="L500" s="4">
        <f t="shared" si="42"/>
        <v>3.7497457005501893</v>
      </c>
      <c r="M500" s="4">
        <f t="shared" si="44"/>
        <v>87.39999999999901</v>
      </c>
      <c r="N500" s="4">
        <f t="shared" si="43"/>
        <v>1.4416475972541338</v>
      </c>
    </row>
    <row r="501" spans="10:14" ht="12.75">
      <c r="J501" s="4">
        <f t="shared" si="40"/>
        <v>1.5167817312797989</v>
      </c>
      <c r="K501" s="4">
        <f t="shared" si="41"/>
        <v>2.089950034067597</v>
      </c>
      <c r="L501" s="4">
        <f t="shared" si="42"/>
        <v>3.7600210799415232</v>
      </c>
      <c r="M501" s="4">
        <f t="shared" si="44"/>
        <v>87.499999999999</v>
      </c>
      <c r="N501" s="4">
        <f t="shared" si="43"/>
        <v>1.4285714285715585</v>
      </c>
    </row>
    <row r="502" spans="10:14" ht="12.75">
      <c r="J502" s="4">
        <f t="shared" si="40"/>
        <v>1.5242017293166488</v>
      </c>
      <c r="K502" s="4">
        <f t="shared" si="41"/>
        <v>2.0983853831971095</v>
      </c>
      <c r="L502" s="4">
        <f t="shared" si="42"/>
        <v>3.7703092716614344</v>
      </c>
      <c r="M502" s="4">
        <f t="shared" si="44"/>
        <v>87.599999999999</v>
      </c>
      <c r="N502" s="4">
        <f t="shared" si="43"/>
        <v>1.4155251141553808</v>
      </c>
    </row>
    <row r="503" spans="10:14" ht="12.75">
      <c r="J503" s="4">
        <f aca="true" t="shared" si="45" ref="J503:J566">IF(D$2&gt;0.2*($N503),(D$2-0.2*($N503))^2/(D$2+0.8*($N503)),0)</f>
        <v>1.5316487427286956</v>
      </c>
      <c r="K503" s="4">
        <f aca="true" t="shared" si="46" ref="K503:K566">IF(E$2&gt;0.2*($N503),(E$2-0.2*($N503))^2/(E$2+0.8*($N503)),0)</f>
        <v>2.106843769235261</v>
      </c>
      <c r="L503" s="4">
        <f aca="true" t="shared" si="47" ref="L503:L566">IF(F$2&gt;0.2*($N503),(F$2-0.2*($N503))^2/(F$2+0.8*($N503)),0)</f>
        <v>3.780610288198816</v>
      </c>
      <c r="M503" s="4">
        <f t="shared" si="44"/>
        <v>87.699999999999</v>
      </c>
      <c r="N503" s="4">
        <f aca="true" t="shared" si="48" ref="N503:N566">IF(M503&gt;0,1000/M503-10,1000)</f>
        <v>1.402508551881544</v>
      </c>
    </row>
    <row r="504" spans="10:14" ht="12.75">
      <c r="J504" s="4">
        <f t="shared" si="45"/>
        <v>1.5391228877177412</v>
      </c>
      <c r="K504" s="4">
        <f t="shared" si="46"/>
        <v>2.115325263838897</v>
      </c>
      <c r="L504" s="4">
        <f t="shared" si="47"/>
        <v>3.7909241421023108</v>
      </c>
      <c r="M504" s="4">
        <f aca="true" t="shared" si="49" ref="M504:M567">M503+0.1</f>
        <v>87.79999999999899</v>
      </c>
      <c r="N504" s="4">
        <f t="shared" si="48"/>
        <v>1.3895216400912478</v>
      </c>
    </row>
    <row r="505" spans="10:14" ht="12.75">
      <c r="J505" s="4">
        <f t="shared" si="45"/>
        <v>1.546624281278248</v>
      </c>
      <c r="K505" s="4">
        <f t="shared" si="46"/>
        <v>2.123829939052797</v>
      </c>
      <c r="L505" s="4">
        <f t="shared" si="47"/>
        <v>3.8012508459802703</v>
      </c>
      <c r="M505" s="4">
        <f t="shared" si="49"/>
        <v>87.89999999999898</v>
      </c>
      <c r="N505" s="4">
        <f t="shared" si="48"/>
        <v>1.376564277588301</v>
      </c>
    </row>
    <row r="506" spans="10:14" ht="12.75">
      <c r="J506" s="4">
        <f t="shared" si="45"/>
        <v>1.5541530412033235</v>
      </c>
      <c r="K506" s="4">
        <f t="shared" si="46"/>
        <v>2.1323578673117205</v>
      </c>
      <c r="L506" s="4">
        <f t="shared" si="47"/>
        <v>3.8115904125007214</v>
      </c>
      <c r="M506" s="4">
        <f t="shared" si="49"/>
        <v>87.99999999999898</v>
      </c>
      <c r="N506" s="4">
        <f t="shared" si="48"/>
        <v>1.3636363636364965</v>
      </c>
    </row>
    <row r="507" spans="10:14" ht="12.75">
      <c r="J507" s="4">
        <f t="shared" si="45"/>
        <v>1.5617092860907575</v>
      </c>
      <c r="K507" s="4">
        <f t="shared" si="46"/>
        <v>2.1409091214424536</v>
      </c>
      <c r="L507" s="4">
        <f t="shared" si="47"/>
        <v>3.821942854391328</v>
      </c>
      <c r="M507" s="4">
        <f t="shared" si="49"/>
        <v>88.09999999999897</v>
      </c>
      <c r="N507" s="4">
        <f t="shared" si="48"/>
        <v>1.3507377979570006</v>
      </c>
    </row>
    <row r="508" spans="10:14" ht="12.75">
      <c r="J508" s="4">
        <f t="shared" si="45"/>
        <v>1.5692931353491273</v>
      </c>
      <c r="K508" s="4">
        <f t="shared" si="46"/>
        <v>2.1494837746658892</v>
      </c>
      <c r="L508" s="4">
        <f t="shared" si="47"/>
        <v>3.8323081844393605</v>
      </c>
      <c r="M508" s="4">
        <f t="shared" si="49"/>
        <v>88.19999999999897</v>
      </c>
      <c r="N508" s="4">
        <f t="shared" si="48"/>
        <v>1.3378684807257564</v>
      </c>
    </row>
    <row r="509" spans="10:14" ht="12.75">
      <c r="J509" s="4">
        <f t="shared" si="45"/>
        <v>1.5769047092039545</v>
      </c>
      <c r="K509" s="4">
        <f t="shared" si="46"/>
        <v>2.15808190059911</v>
      </c>
      <c r="L509" s="4">
        <f t="shared" si="47"/>
        <v>3.842686415491657</v>
      </c>
      <c r="M509" s="4">
        <f t="shared" si="49"/>
        <v>88.29999999999896</v>
      </c>
      <c r="N509" s="4">
        <f t="shared" si="48"/>
        <v>1.3250283125709146</v>
      </c>
    </row>
    <row r="510" spans="10:14" ht="12.75">
      <c r="J510" s="4">
        <f t="shared" si="45"/>
        <v>1.5845441287039308</v>
      </c>
      <c r="K510" s="4">
        <f t="shared" si="46"/>
        <v>2.166703573257496</v>
      </c>
      <c r="L510" s="4">
        <f t="shared" si="47"/>
        <v>3.853077560454597</v>
      </c>
      <c r="M510" s="4">
        <f t="shared" si="49"/>
        <v>88.39999999999895</v>
      </c>
      <c r="N510" s="4">
        <f t="shared" si="48"/>
        <v>1.3122171945702696</v>
      </c>
    </row>
    <row r="511" spans="10:14" ht="12.75">
      <c r="J511" s="4">
        <f t="shared" si="45"/>
        <v>1.5922115157272003</v>
      </c>
      <c r="K511" s="4">
        <f t="shared" si="46"/>
        <v>2.175348867056846</v>
      </c>
      <c r="L511" s="4">
        <f t="shared" si="47"/>
        <v>3.8634816322940693</v>
      </c>
      <c r="M511" s="4">
        <f t="shared" si="49"/>
        <v>88.49999999999895</v>
      </c>
      <c r="N511" s="4">
        <f t="shared" si="48"/>
        <v>1.2994350282487215</v>
      </c>
    </row>
    <row r="512" spans="10:14" ht="12.75">
      <c r="J512" s="4">
        <f t="shared" si="45"/>
        <v>1.5999069929877068</v>
      </c>
      <c r="K512" s="4">
        <f t="shared" si="46"/>
        <v>2.184017856815519</v>
      </c>
      <c r="L512" s="4">
        <f t="shared" si="47"/>
        <v>3.8738986440354437</v>
      </c>
      <c r="M512" s="4">
        <f t="shared" si="49"/>
        <v>88.59999999999894</v>
      </c>
      <c r="N512" s="4">
        <f t="shared" si="48"/>
        <v>1.2866817155757548</v>
      </c>
    </row>
    <row r="513" spans="10:14" ht="12.75">
      <c r="J513" s="4">
        <f t="shared" si="45"/>
        <v>1.6076306840416041</v>
      </c>
      <c r="K513" s="4">
        <f t="shared" si="46"/>
        <v>2.192710617756586</v>
      </c>
      <c r="L513" s="4">
        <f t="shared" si="47"/>
        <v>3.884328608763537</v>
      </c>
      <c r="M513" s="4">
        <f t="shared" si="49"/>
        <v>88.69999999999894</v>
      </c>
      <c r="N513" s="4">
        <f t="shared" si="48"/>
        <v>1.273957158962931</v>
      </c>
    </row>
    <row r="514" spans="10:14" ht="12.75">
      <c r="J514" s="4">
        <f t="shared" si="45"/>
        <v>1.6153827132937302</v>
      </c>
      <c r="K514" s="4">
        <f t="shared" si="46"/>
        <v>2.2014272255100087</v>
      </c>
      <c r="L514" s="4">
        <f t="shared" si="47"/>
        <v>3.8947715396225937</v>
      </c>
      <c r="M514" s="4">
        <f t="shared" si="49"/>
        <v>88.79999999999893</v>
      </c>
      <c r="N514" s="4">
        <f t="shared" si="48"/>
        <v>1.2612612612613976</v>
      </c>
    </row>
    <row r="515" spans="10:14" ht="12.75">
      <c r="J515" s="4">
        <f t="shared" si="45"/>
        <v>1.6231632060041474</v>
      </c>
      <c r="K515" s="4">
        <f t="shared" si="46"/>
        <v>2.21016775611483</v>
      </c>
      <c r="L515" s="4">
        <f t="shared" si="47"/>
        <v>3.9052274498162585</v>
      </c>
      <c r="M515" s="4">
        <f t="shared" si="49"/>
        <v>88.89999999999893</v>
      </c>
      <c r="N515" s="4">
        <f t="shared" si="48"/>
        <v>1.2485939257594154</v>
      </c>
    </row>
    <row r="516" spans="10:14" ht="12.75">
      <c r="J516" s="4">
        <f t="shared" si="45"/>
        <v>1.6309722882947408</v>
      </c>
      <c r="K516" s="4">
        <f t="shared" si="46"/>
        <v>2.2189322860213765</v>
      </c>
      <c r="L516" s="4">
        <f t="shared" si="47"/>
        <v>3.9156963526075406</v>
      </c>
      <c r="M516" s="4">
        <f t="shared" si="49"/>
        <v>88.99999999999892</v>
      </c>
      <c r="N516" s="4">
        <f t="shared" si="48"/>
        <v>1.235955056179911</v>
      </c>
    </row>
    <row r="517" spans="10:14" ht="12.75">
      <c r="J517" s="4">
        <f t="shared" si="45"/>
        <v>1.6388100871558946</v>
      </c>
      <c r="K517" s="4">
        <f t="shared" si="46"/>
        <v>2.2277208920934926</v>
      </c>
      <c r="L517" s="4">
        <f t="shared" si="47"/>
        <v>3.9261782613188054</v>
      </c>
      <c r="M517" s="4">
        <f t="shared" si="49"/>
        <v>89.09999999999891</v>
      </c>
      <c r="N517" s="4">
        <f t="shared" si="48"/>
        <v>1.2233445566780272</v>
      </c>
    </row>
    <row r="518" spans="10:14" ht="12.75">
      <c r="J518" s="4">
        <f t="shared" si="45"/>
        <v>1.646676730453228</v>
      </c>
      <c r="K518" s="4">
        <f t="shared" si="46"/>
        <v>2.236533651610781</v>
      </c>
      <c r="L518" s="4">
        <f t="shared" si="47"/>
        <v>3.9366731893317453</v>
      </c>
      <c r="M518" s="4">
        <f t="shared" si="49"/>
        <v>89.19999999999891</v>
      </c>
      <c r="N518" s="4">
        <f t="shared" si="48"/>
        <v>1.210762331838703</v>
      </c>
    </row>
    <row r="519" spans="10:14" ht="12.75">
      <c r="J519" s="4">
        <f t="shared" si="45"/>
        <v>1.6545723469343976</v>
      </c>
      <c r="K519" s="4">
        <f t="shared" si="46"/>
        <v>2.245370642270869</v>
      </c>
      <c r="L519" s="4">
        <f t="shared" si="47"/>
        <v>3.947181150087357</v>
      </c>
      <c r="M519" s="4">
        <f t="shared" si="49"/>
        <v>89.2999999999989</v>
      </c>
      <c r="N519" s="4">
        <f t="shared" si="48"/>
        <v>1.1982082866742694</v>
      </c>
    </row>
    <row r="520" spans="10:14" ht="12.75">
      <c r="J520" s="4">
        <f t="shared" si="45"/>
        <v>1.6624970662359688</v>
      </c>
      <c r="K520" s="4">
        <f t="shared" si="46"/>
        <v>2.2542319421916766</v>
      </c>
      <c r="L520" s="4">
        <f t="shared" si="47"/>
        <v>3.9577021570859183</v>
      </c>
      <c r="M520" s="4">
        <f t="shared" si="49"/>
        <v>89.3999999999989</v>
      </c>
      <c r="N520" s="4">
        <f t="shared" si="48"/>
        <v>1.1856823266220626</v>
      </c>
    </row>
    <row r="521" spans="10:14" ht="12.75">
      <c r="J521" s="4">
        <f t="shared" si="45"/>
        <v>1.6704510188903645</v>
      </c>
      <c r="K521" s="4">
        <f t="shared" si="46"/>
        <v>2.2631176299137317</v>
      </c>
      <c r="L521" s="4">
        <f t="shared" si="47"/>
        <v>3.9682362238869797</v>
      </c>
      <c r="M521" s="4">
        <f t="shared" si="49"/>
        <v>89.49999999999889</v>
      </c>
      <c r="N521" s="4">
        <f t="shared" si="48"/>
        <v>1.1731843575420378</v>
      </c>
    </row>
    <row r="522" spans="10:14" ht="12.75">
      <c r="J522" s="4">
        <f t="shared" si="45"/>
        <v>1.6784343363328689</v>
      </c>
      <c r="K522" s="4">
        <f t="shared" si="46"/>
        <v>2.2720277844024754</v>
      </c>
      <c r="L522" s="4">
        <f t="shared" si="47"/>
        <v>3.9787833641093333</v>
      </c>
      <c r="M522" s="4">
        <f t="shared" si="49"/>
        <v>89.59999999999889</v>
      </c>
      <c r="N522" s="4">
        <f t="shared" si="48"/>
        <v>1.160714285714425</v>
      </c>
    </row>
    <row r="523" spans="10:14" ht="12.75">
      <c r="J523" s="4">
        <f t="shared" si="45"/>
        <v>1.6864471509087162</v>
      </c>
      <c r="K523" s="4">
        <f t="shared" si="46"/>
        <v>2.280962485050604</v>
      </c>
      <c r="L523" s="4">
        <f t="shared" si="47"/>
        <v>3.9893435914310063</v>
      </c>
      <c r="M523" s="4">
        <f t="shared" si="49"/>
        <v>89.69999999999888</v>
      </c>
      <c r="N523" s="4">
        <f t="shared" si="48"/>
        <v>1.1482720178373746</v>
      </c>
    </row>
    <row r="524" spans="10:14" ht="12.75">
      <c r="J524" s="4">
        <f t="shared" si="45"/>
        <v>1.69448959588024</v>
      </c>
      <c r="K524" s="4">
        <f t="shared" si="46"/>
        <v>2.289921811680416</v>
      </c>
      <c r="L524" s="4">
        <f t="shared" si="47"/>
        <v>3.9999169195892352</v>
      </c>
      <c r="M524" s="4">
        <f t="shared" si="49"/>
        <v>89.79999999999887</v>
      </c>
      <c r="N524" s="4">
        <f t="shared" si="48"/>
        <v>1.1358574610246386</v>
      </c>
    </row>
    <row r="525" spans="10:14" ht="12.75">
      <c r="J525" s="4">
        <f t="shared" si="45"/>
        <v>1.7025618054341023</v>
      </c>
      <c r="K525" s="4">
        <f t="shared" si="46"/>
        <v>2.298905844546191</v>
      </c>
      <c r="L525" s="4">
        <f t="shared" si="47"/>
        <v>4.0105033623804625</v>
      </c>
      <c r="M525" s="4">
        <f t="shared" si="49"/>
        <v>89.89999999999887</v>
      </c>
      <c r="N525" s="4">
        <f t="shared" si="48"/>
        <v>1.1234705228032542</v>
      </c>
    </row>
    <row r="526" spans="10:14" ht="12.75">
      <c r="J526" s="4">
        <f t="shared" si="45"/>
        <v>1.7106639146885905</v>
      </c>
      <c r="K526" s="4">
        <f t="shared" si="46"/>
        <v>2.30791466433658</v>
      </c>
      <c r="L526" s="4">
        <f t="shared" si="47"/>
        <v>4.021102933660312</v>
      </c>
      <c r="M526" s="4">
        <f t="shared" si="49"/>
        <v>89.99999999999886</v>
      </c>
      <c r="N526" s="4">
        <f t="shared" si="48"/>
        <v>1.111111111111251</v>
      </c>
    </row>
    <row r="527" spans="10:14" ht="12.75">
      <c r="J527" s="4">
        <f t="shared" si="45"/>
        <v>1.7187960597009926</v>
      </c>
      <c r="K527" s="4">
        <f t="shared" si="46"/>
        <v>2.316948352177017</v>
      </c>
      <c r="L527" s="4">
        <f t="shared" si="47"/>
        <v>4.031715647343581</v>
      </c>
      <c r="M527" s="4">
        <f t="shared" si="49"/>
        <v>90.09999999999886</v>
      </c>
      <c r="N527" s="4">
        <f t="shared" si="48"/>
        <v>1.098779134295368</v>
      </c>
    </row>
    <row r="528" spans="10:14" ht="12.75">
      <c r="J528" s="4">
        <f t="shared" si="45"/>
        <v>1.7269583774750439</v>
      </c>
      <c r="K528" s="4">
        <f t="shared" si="46"/>
        <v>2.326006989632147</v>
      </c>
      <c r="L528" s="4">
        <f t="shared" si="47"/>
        <v>4.042341517404232</v>
      </c>
      <c r="M528" s="4">
        <f t="shared" si="49"/>
        <v>90.19999999999885</v>
      </c>
      <c r="N528" s="4">
        <f t="shared" si="48"/>
        <v>1.086474501108789</v>
      </c>
    </row>
    <row r="529" spans="10:14" ht="12.75">
      <c r="J529" s="4">
        <f t="shared" si="45"/>
        <v>1.73515100596845</v>
      </c>
      <c r="K529" s="4">
        <f t="shared" si="46"/>
        <v>2.3350906587082783</v>
      </c>
      <c r="L529" s="4">
        <f t="shared" si="47"/>
        <v>4.052980557875377</v>
      </c>
      <c r="M529" s="4">
        <f t="shared" si="49"/>
        <v>90.29999999999885</v>
      </c>
      <c r="N529" s="4">
        <f t="shared" si="48"/>
        <v>1.0741971207088898</v>
      </c>
    </row>
    <row r="530" spans="10:14" ht="12.75">
      <c r="J530" s="4">
        <f t="shared" si="45"/>
        <v>1.7433740841004866</v>
      </c>
      <c r="K530" s="4">
        <f t="shared" si="46"/>
        <v>2.3441994418558494</v>
      </c>
      <c r="L530" s="4">
        <f t="shared" si="47"/>
        <v>4.0636327828492655</v>
      </c>
      <c r="M530" s="4">
        <f t="shared" si="49"/>
        <v>90.39999999999884</v>
      </c>
      <c r="N530" s="4">
        <f t="shared" si="48"/>
        <v>1.0619469026550092</v>
      </c>
    </row>
    <row r="531" spans="10:14" ht="12.75">
      <c r="J531" s="4">
        <f t="shared" si="45"/>
        <v>1.7516277517596763</v>
      </c>
      <c r="K531" s="4">
        <f t="shared" si="46"/>
        <v>2.3533334219719197</v>
      </c>
      <c r="L531" s="4">
        <f t="shared" si="47"/>
        <v>4.074298206477288</v>
      </c>
      <c r="M531" s="4">
        <f t="shared" si="49"/>
        <v>90.49999999999883</v>
      </c>
      <c r="N531" s="4">
        <f t="shared" si="48"/>
        <v>1.0497237569062197</v>
      </c>
    </row>
    <row r="532" spans="10:14" ht="12.75">
      <c r="J532" s="4">
        <f t="shared" si="45"/>
        <v>1.7599121498115446</v>
      </c>
      <c r="K532" s="4">
        <f t="shared" si="46"/>
        <v>2.362492682402679</v>
      </c>
      <c r="L532" s="4">
        <f t="shared" si="47"/>
        <v>4.084976842969954</v>
      </c>
      <c r="M532" s="4">
        <f t="shared" si="49"/>
        <v>90.59999999999883</v>
      </c>
      <c r="N532" s="4">
        <f t="shared" si="48"/>
        <v>1.037527593819128</v>
      </c>
    </row>
    <row r="533" spans="10:14" ht="12.75">
      <c r="J533" s="4">
        <f t="shared" si="45"/>
        <v>1.7682274201064554</v>
      </c>
      <c r="K533" s="4">
        <f t="shared" si="46"/>
        <v>2.3716773069459753</v>
      </c>
      <c r="L533" s="4">
        <f t="shared" si="47"/>
        <v>4.095668706596898</v>
      </c>
      <c r="M533" s="4">
        <f t="shared" si="49"/>
        <v>90.69999999999882</v>
      </c>
      <c r="N533" s="4">
        <f t="shared" si="48"/>
        <v>1.025358324145678</v>
      </c>
    </row>
    <row r="534" spans="10:14" ht="12.75">
      <c r="J534" s="4">
        <f t="shared" si="45"/>
        <v>1.7765737054875204</v>
      </c>
      <c r="K534" s="4">
        <f t="shared" si="46"/>
        <v>2.380887379853863</v>
      </c>
      <c r="L534" s="4">
        <f t="shared" si="47"/>
        <v>4.106373811686865</v>
      </c>
      <c r="M534" s="4">
        <f t="shared" si="49"/>
        <v>90.79999999999882</v>
      </c>
      <c r="N534" s="4">
        <f t="shared" si="48"/>
        <v>1.0132158590309803</v>
      </c>
    </row>
    <row r="535" spans="10:14" ht="12.75">
      <c r="J535" s="4">
        <f t="shared" si="45"/>
        <v>1.7849511497986001</v>
      </c>
      <c r="K535" s="4">
        <f t="shared" si="46"/>
        <v>2.3901229858351747</v>
      </c>
      <c r="L535" s="4">
        <f t="shared" si="47"/>
        <v>4.117092172627712</v>
      </c>
      <c r="M535" s="4">
        <f t="shared" si="49"/>
        <v>90.89999999999881</v>
      </c>
      <c r="N535" s="4">
        <f t="shared" si="48"/>
        <v>1.0011001100111443</v>
      </c>
    </row>
    <row r="536" spans="10:14" ht="12.75">
      <c r="J536" s="4">
        <f t="shared" si="45"/>
        <v>1.7933598978923757</v>
      </c>
      <c r="K536" s="4">
        <f t="shared" si="46"/>
        <v>2.399384210058108</v>
      </c>
      <c r="L536" s="4">
        <f t="shared" si="47"/>
        <v>4.127823803866403</v>
      </c>
      <c r="M536" s="4">
        <f t="shared" si="49"/>
        <v>90.9999999999988</v>
      </c>
      <c r="N536" s="4">
        <f t="shared" si="48"/>
        <v>0.9890109890111329</v>
      </c>
    </row>
    <row r="537" spans="10:14" ht="12.75">
      <c r="J537" s="4">
        <f t="shared" si="45"/>
        <v>1.8018000956385125</v>
      </c>
      <c r="K537" s="4">
        <f t="shared" si="46"/>
        <v>2.408671138152841</v>
      </c>
      <c r="L537" s="4">
        <f t="shared" si="47"/>
        <v>4.1385687199090055</v>
      </c>
      <c r="M537" s="4">
        <f t="shared" si="49"/>
        <v>91.0999999999988</v>
      </c>
      <c r="N537" s="4">
        <f t="shared" si="48"/>
        <v>0.9769484083426256</v>
      </c>
    </row>
    <row r="538" spans="10:14" ht="12.75">
      <c r="J538" s="4">
        <f t="shared" si="45"/>
        <v>1.8102718899319032</v>
      </c>
      <c r="K538" s="4">
        <f t="shared" si="46"/>
        <v>2.4179838562141627</v>
      </c>
      <c r="L538" s="4">
        <f t="shared" si="47"/>
        <v>4.149326935320694</v>
      </c>
      <c r="M538" s="4">
        <f t="shared" si="49"/>
        <v>91.1999999999988</v>
      </c>
      <c r="N538" s="4">
        <f t="shared" si="48"/>
        <v>0.964912280701899</v>
      </c>
    </row>
    <row r="539" spans="10:14" ht="12.75">
      <c r="J539" s="4">
        <f t="shared" si="45"/>
        <v>1.8187754287009927</v>
      </c>
      <c r="K539" s="4">
        <f t="shared" si="46"/>
        <v>2.4273224508041205</v>
      </c>
      <c r="L539" s="4">
        <f t="shared" si="47"/>
        <v>4.160098464725745</v>
      </c>
      <c r="M539" s="4">
        <f t="shared" si="49"/>
        <v>91.29999999999879</v>
      </c>
      <c r="N539" s="4">
        <f t="shared" si="48"/>
        <v>0.9529025191677238</v>
      </c>
    </row>
    <row r="540" spans="10:14" ht="12.75">
      <c r="J540" s="4">
        <f t="shared" si="45"/>
        <v>1.827310860916193</v>
      </c>
      <c r="K540" s="4">
        <f t="shared" si="46"/>
        <v>2.4366870089546984</v>
      </c>
      <c r="L540" s="4">
        <f t="shared" si="47"/>
        <v>4.170883322807537</v>
      </c>
      <c r="M540" s="4">
        <f t="shared" si="49"/>
        <v>91.39999999999878</v>
      </c>
      <c r="N540" s="4">
        <f t="shared" si="48"/>
        <v>0.9409190371992704</v>
      </c>
    </row>
    <row r="541" spans="10:14" ht="12.75">
      <c r="J541" s="4">
        <f t="shared" si="45"/>
        <v>1.8358783365983886</v>
      </c>
      <c r="K541" s="4">
        <f t="shared" si="46"/>
        <v>2.446077618170516</v>
      </c>
      <c r="L541" s="4">
        <f t="shared" si="47"/>
        <v>4.181681524308562</v>
      </c>
      <c r="M541" s="4">
        <f t="shared" si="49"/>
        <v>91.49999999999878</v>
      </c>
      <c r="N541" s="4">
        <f t="shared" si="48"/>
        <v>0.9289617486340251</v>
      </c>
    </row>
    <row r="542" spans="10:14" ht="12.75">
      <c r="J542" s="4">
        <f t="shared" si="45"/>
        <v>1.8444780068275166</v>
      </c>
      <c r="K542" s="4">
        <f t="shared" si="46"/>
        <v>2.455494366431536</v>
      </c>
      <c r="L542" s="4">
        <f t="shared" si="47"/>
        <v>4.192493084030416</v>
      </c>
      <c r="M542" s="4">
        <f t="shared" si="49"/>
        <v>91.59999999999877</v>
      </c>
      <c r="N542" s="4">
        <f t="shared" si="48"/>
        <v>0.9170305676857353</v>
      </c>
    </row>
    <row r="543" spans="10:14" ht="12.75">
      <c r="J543" s="4">
        <f t="shared" si="45"/>
        <v>1.8531100237512483</v>
      </c>
      <c r="K543" s="4">
        <f t="shared" si="46"/>
        <v>2.4649373421958116</v>
      </c>
      <c r="L543" s="4">
        <f t="shared" si="47"/>
        <v>4.203318016833809</v>
      </c>
      <c r="M543" s="4">
        <f t="shared" si="49"/>
        <v>91.69999999999877</v>
      </c>
      <c r="N543" s="4">
        <f t="shared" si="48"/>
        <v>0.9051254089423502</v>
      </c>
    </row>
    <row r="544" spans="10:14" ht="12.75">
      <c r="J544" s="4">
        <f t="shared" si="45"/>
        <v>1.8617745405937591</v>
      </c>
      <c r="K544" s="4">
        <f t="shared" si="46"/>
        <v>2.474406634402245</v>
      </c>
      <c r="L544" s="4">
        <f t="shared" si="47"/>
        <v>4.214156337638578</v>
      </c>
      <c r="M544" s="4">
        <f t="shared" si="49"/>
        <v>91.79999999999876</v>
      </c>
      <c r="N544" s="4">
        <f t="shared" si="48"/>
        <v>0.8932461873639816</v>
      </c>
    </row>
    <row r="545" spans="10:14" ht="12.75">
      <c r="J545" s="4">
        <f t="shared" si="45"/>
        <v>1.8704717116645764</v>
      </c>
      <c r="K545" s="4">
        <f t="shared" si="46"/>
        <v>2.4839023324733627</v>
      </c>
      <c r="L545" s="4">
        <f t="shared" si="47"/>
        <v>4.225008061423673</v>
      </c>
      <c r="M545" s="4">
        <f t="shared" si="49"/>
        <v>91.89999999999876</v>
      </c>
      <c r="N545" s="4">
        <f t="shared" si="48"/>
        <v>0.8813928182808866</v>
      </c>
    </row>
    <row r="546" spans="10:14" ht="12.75">
      <c r="J546" s="4">
        <f t="shared" si="45"/>
        <v>1.8792016923675354</v>
      </c>
      <c r="K546" s="4">
        <f t="shared" si="46"/>
        <v>2.4934245263181296</v>
      </c>
      <c r="L546" s="4">
        <f t="shared" si="47"/>
        <v>4.235873203227183</v>
      </c>
      <c r="M546" s="4">
        <f t="shared" si="49"/>
        <v>91.99999999999875</v>
      </c>
      <c r="N546" s="4">
        <f t="shared" si="48"/>
        <v>0.8695652173914521</v>
      </c>
    </row>
    <row r="547" spans="10:14" ht="12.75">
      <c r="J547" s="4">
        <f t="shared" si="45"/>
        <v>1.887964639209822</v>
      </c>
      <c r="K547" s="4">
        <f t="shared" si="46"/>
        <v>2.502973306334773</v>
      </c>
      <c r="L547" s="4">
        <f t="shared" si="47"/>
        <v>4.246751778146336</v>
      </c>
      <c r="M547" s="4">
        <f t="shared" si="49"/>
        <v>92.09999999999874</v>
      </c>
      <c r="N547" s="4">
        <f t="shared" si="48"/>
        <v>0.8577633007601921</v>
      </c>
    </row>
    <row r="548" spans="10:14" ht="12.75">
      <c r="J548" s="4">
        <f t="shared" si="45"/>
        <v>1.8967607098111072</v>
      </c>
      <c r="K548" s="4">
        <f t="shared" si="46"/>
        <v>2.5125487634136334</v>
      </c>
      <c r="L548" s="4">
        <f t="shared" si="47"/>
        <v>4.257643801337511</v>
      </c>
      <c r="M548" s="4">
        <f t="shared" si="49"/>
        <v>92.19999999999874</v>
      </c>
      <c r="N548" s="4">
        <f t="shared" si="48"/>
        <v>0.8459869848157666</v>
      </c>
    </row>
    <row r="549" spans="10:14" ht="12.75">
      <c r="J549" s="4">
        <f t="shared" si="45"/>
        <v>1.905590062912775</v>
      </c>
      <c r="K549" s="4">
        <f t="shared" si="46"/>
        <v>2.522150988940034</v>
      </c>
      <c r="L549" s="4">
        <f t="shared" si="47"/>
        <v>4.26854928801624</v>
      </c>
      <c r="M549" s="4">
        <f t="shared" si="49"/>
        <v>92.29999999999873</v>
      </c>
      <c r="N549" s="4">
        <f t="shared" si="48"/>
        <v>0.8342361863490115</v>
      </c>
    </row>
    <row r="550" spans="10:14" ht="12.75">
      <c r="J550" s="4">
        <f t="shared" si="45"/>
        <v>1.9144528583872553</v>
      </c>
      <c r="K550" s="4">
        <f t="shared" si="46"/>
        <v>2.5317800747971786</v>
      </c>
      <c r="L550" s="4">
        <f t="shared" si="47"/>
        <v>4.279468253457232</v>
      </c>
      <c r="M550" s="4">
        <f t="shared" si="49"/>
        <v>92.39999999999873</v>
      </c>
      <c r="N550" s="4">
        <f t="shared" si="48"/>
        <v>0.8225108225109725</v>
      </c>
    </row>
    <row r="551" spans="10:14" ht="12.75">
      <c r="J551" s="4">
        <f t="shared" si="45"/>
        <v>1.9233492572474489</v>
      </c>
      <c r="K551" s="4">
        <f t="shared" si="46"/>
        <v>2.541436113369076</v>
      </c>
      <c r="L551" s="4">
        <f t="shared" si="47"/>
        <v>4.2904007129943755</v>
      </c>
      <c r="M551" s="4">
        <f t="shared" si="49"/>
        <v>92.49999999999872</v>
      </c>
      <c r="N551" s="4">
        <f t="shared" si="48"/>
        <v>0.8108108108109597</v>
      </c>
    </row>
    <row r="552" spans="10:14" ht="12.75">
      <c r="J552" s="4">
        <f t="shared" si="45"/>
        <v>1.9322794216562427</v>
      </c>
      <c r="K552" s="4">
        <f t="shared" si="46"/>
        <v>2.551119197543469</v>
      </c>
      <c r="L552" s="4">
        <f t="shared" si="47"/>
        <v>4.30134668202075</v>
      </c>
      <c r="M552" s="4">
        <f t="shared" si="49"/>
        <v>92.59999999999872</v>
      </c>
      <c r="N552" s="4">
        <f t="shared" si="48"/>
        <v>0.7991360691146205</v>
      </c>
    </row>
    <row r="553" spans="10:14" ht="12.75">
      <c r="J553" s="4">
        <f t="shared" si="45"/>
        <v>1.941243514936145</v>
      </c>
      <c r="K553" s="4">
        <f t="shared" si="46"/>
        <v>2.5608294207148172</v>
      </c>
      <c r="L553" s="4">
        <f t="shared" si="47"/>
        <v>4.312306175988651</v>
      </c>
      <c r="M553" s="4">
        <f t="shared" si="49"/>
        <v>92.69999999999871</v>
      </c>
      <c r="N553" s="4">
        <f t="shared" si="48"/>
        <v>0.787486515642005</v>
      </c>
    </row>
    <row r="554" spans="10:14" ht="12.75">
      <c r="J554" s="4">
        <f t="shared" si="45"/>
        <v>1.950241701579001</v>
      </c>
      <c r="K554" s="4">
        <f t="shared" si="46"/>
        <v>2.570566876787273</v>
      </c>
      <c r="L554" s="4">
        <f t="shared" si="47"/>
        <v>4.323279210409592</v>
      </c>
      <c r="M554" s="4">
        <f t="shared" si="49"/>
        <v>92.7999999999987</v>
      </c>
      <c r="N554" s="4">
        <f t="shared" si="48"/>
        <v>0.775862068965667</v>
      </c>
    </row>
    <row r="555" spans="10:14" ht="12.75">
      <c r="J555" s="4">
        <f t="shared" si="45"/>
        <v>1.9592741472558215</v>
      </c>
      <c r="K555" s="4">
        <f t="shared" si="46"/>
        <v>2.580331660177704</v>
      </c>
      <c r="L555" s="4">
        <f t="shared" si="47"/>
        <v>4.334265800854332</v>
      </c>
      <c r="M555" s="4">
        <f t="shared" si="49"/>
        <v>92.8999999999987</v>
      </c>
      <c r="N555" s="4">
        <f t="shared" si="48"/>
        <v>0.7642626480087618</v>
      </c>
    </row>
    <row r="556" spans="10:14" ht="12.75">
      <c r="J556" s="4">
        <f t="shared" si="45"/>
        <v>1.9683410188267152</v>
      </c>
      <c r="K556" s="4">
        <f t="shared" si="46"/>
        <v>2.5901238658187284</v>
      </c>
      <c r="L556" s="4">
        <f t="shared" si="47"/>
        <v>4.345265962952881</v>
      </c>
      <c r="M556" s="4">
        <f t="shared" si="49"/>
        <v>92.99999999999869</v>
      </c>
      <c r="N556" s="4">
        <f t="shared" si="48"/>
        <v>0.7526881720431611</v>
      </c>
    </row>
    <row r="557" spans="10:14" ht="12.75">
      <c r="J557" s="4">
        <f t="shared" si="45"/>
        <v>1.9774424843509169</v>
      </c>
      <c r="K557" s="4">
        <f t="shared" si="46"/>
        <v>2.599943589161774</v>
      </c>
      <c r="L557" s="4">
        <f t="shared" si="47"/>
        <v>4.356279712394527</v>
      </c>
      <c r="M557" s="4">
        <f t="shared" si="49"/>
        <v>93.09999999999869</v>
      </c>
      <c r="N557" s="4">
        <f t="shared" si="48"/>
        <v>0.7411385606875847</v>
      </c>
    </row>
    <row r="558" spans="10:14" ht="12.75">
      <c r="J558" s="4">
        <f t="shared" si="45"/>
        <v>1.9865787130969357</v>
      </c>
      <c r="K558" s="4">
        <f t="shared" si="46"/>
        <v>2.609790926180174</v>
      </c>
      <c r="L558" s="4">
        <f t="shared" si="47"/>
        <v>4.367307064927853</v>
      </c>
      <c r="M558" s="4">
        <f t="shared" si="49"/>
        <v>93.19999999999868</v>
      </c>
      <c r="N558" s="4">
        <f t="shared" si="48"/>
        <v>0.7296137339057314</v>
      </c>
    </row>
    <row r="559" spans="10:14" ht="12.75">
      <c r="J559" s="4">
        <f t="shared" si="45"/>
        <v>1.9957498755527954</v>
      </c>
      <c r="K559" s="4">
        <f t="shared" si="46"/>
        <v>2.6196659733722707</v>
      </c>
      <c r="L559" s="4">
        <f t="shared" si="47"/>
        <v>4.378348036360748</v>
      </c>
      <c r="M559" s="4">
        <f t="shared" si="49"/>
        <v>93.29999999999868</v>
      </c>
      <c r="N559" s="4">
        <f t="shared" si="48"/>
        <v>0.7181136120044389</v>
      </c>
    </row>
    <row r="560" spans="10:14" ht="12.75">
      <c r="J560" s="4">
        <f t="shared" si="45"/>
        <v>2.0049561434363907</v>
      </c>
      <c r="K560" s="4">
        <f t="shared" si="46"/>
        <v>2.6295688277645537</v>
      </c>
      <c r="L560" s="4">
        <f t="shared" si="47"/>
        <v>4.389402642560442</v>
      </c>
      <c r="M560" s="4">
        <f t="shared" si="49"/>
        <v>93.39999999999867</v>
      </c>
      <c r="N560" s="4">
        <f t="shared" si="48"/>
        <v>0.7066381156318435</v>
      </c>
    </row>
    <row r="561" spans="10:14" ht="12.75">
      <c r="J561" s="4">
        <f t="shared" si="45"/>
        <v>2.014197689705956</v>
      </c>
      <c r="K561" s="4">
        <f t="shared" si="46"/>
        <v>2.6394995869148263</v>
      </c>
      <c r="L561" s="4">
        <f t="shared" si="47"/>
        <v>4.400470899453516</v>
      </c>
      <c r="M561" s="4">
        <f t="shared" si="49"/>
        <v>93.49999999999866</v>
      </c>
      <c r="N561" s="4">
        <f t="shared" si="48"/>
        <v>0.695187165775554</v>
      </c>
    </row>
    <row r="562" spans="10:14" ht="12.75">
      <c r="J562" s="4">
        <f t="shared" si="45"/>
        <v>2.0234746885706416</v>
      </c>
      <c r="K562" s="4">
        <f t="shared" si="46"/>
        <v>2.649458348915392</v>
      </c>
      <c r="L562" s="4">
        <f t="shared" si="47"/>
        <v>4.411552823025931</v>
      </c>
      <c r="M562" s="4">
        <f t="shared" si="49"/>
        <v>93.59999999999866</v>
      </c>
      <c r="N562" s="4">
        <f t="shared" si="48"/>
        <v>0.6837606837608377</v>
      </c>
    </row>
    <row r="563" spans="10:14" ht="12.75">
      <c r="J563" s="4">
        <f t="shared" si="45"/>
        <v>2.032787315501198</v>
      </c>
      <c r="K563" s="4">
        <f t="shared" si="46"/>
        <v>2.659445212396265</v>
      </c>
      <c r="L563" s="4">
        <f t="shared" si="47"/>
        <v>4.4226484293230515</v>
      </c>
      <c r="M563" s="4">
        <f t="shared" si="49"/>
        <v>93.69999999999865</v>
      </c>
      <c r="N563" s="4">
        <f t="shared" si="48"/>
        <v>0.6723585912488197</v>
      </c>
    </row>
    <row r="564" spans="10:14" ht="12.75">
      <c r="J564" s="4">
        <f t="shared" si="45"/>
        <v>2.042135747240782</v>
      </c>
      <c r="K564" s="4">
        <f t="shared" si="46"/>
        <v>2.669460276528412</v>
      </c>
      <c r="L564" s="4">
        <f t="shared" si="47"/>
        <v>4.433757734449662</v>
      </c>
      <c r="M564" s="4">
        <f t="shared" si="49"/>
        <v>93.79999999999865</v>
      </c>
      <c r="N564" s="4">
        <f t="shared" si="48"/>
        <v>0.6609808102346957</v>
      </c>
    </row>
    <row r="565" spans="10:14" ht="12.75">
      <c r="J565" s="4">
        <f t="shared" si="45"/>
        <v>2.051520161815873</v>
      </c>
      <c r="K565" s="4">
        <f t="shared" si="46"/>
        <v>2.6795036410270163</v>
      </c>
      <c r="L565" s="4">
        <f t="shared" si="47"/>
        <v>4.444880754570003</v>
      </c>
      <c r="M565" s="4">
        <f t="shared" si="49"/>
        <v>93.89999999999864</v>
      </c>
      <c r="N565" s="4">
        <f t="shared" si="48"/>
        <v>0.6496272630459483</v>
      </c>
    </row>
    <row r="566" spans="10:14" ht="12.75">
      <c r="J566" s="4">
        <f t="shared" si="45"/>
        <v>2.06094073854731</v>
      </c>
      <c r="K566" s="4">
        <f t="shared" si="46"/>
        <v>2.6895754061547725</v>
      </c>
      <c r="L566" s="4">
        <f t="shared" si="47"/>
        <v>4.456017505907792</v>
      </c>
      <c r="M566" s="4">
        <f t="shared" si="49"/>
        <v>93.99999999999864</v>
      </c>
      <c r="N566" s="4">
        <f t="shared" si="48"/>
        <v>0.6382978723405799</v>
      </c>
    </row>
    <row r="567" spans="10:14" ht="12.75">
      <c r="J567" s="4">
        <f aca="true" t="shared" si="50" ref="J567:J626">IF(D$2&gt;0.2*($N567),(D$2-0.2*($N567))^2/(D$2+0.8*($N567)),0)</f>
        <v>2.070397658061437</v>
      </c>
      <c r="K567" s="4">
        <f aca="true" t="shared" si="51" ref="K567:K626">IF(E$2&gt;0.2*($N567),(E$2-0.2*($N567))^2/(E$2+0.8*($N567)),0)</f>
        <v>2.6996756727252</v>
      </c>
      <c r="L567" s="4">
        <f aca="true" t="shared" si="52" ref="L567:L626">IF(F$2&gt;0.2*($N567),(F$2-0.2*($N567))^2/(F$2+0.8*($N567)),0)</f>
        <v>4.4671680047462505</v>
      </c>
      <c r="M567" s="4">
        <f t="shared" si="49"/>
        <v>94.09999999999863</v>
      </c>
      <c r="N567" s="4">
        <f aca="true" t="shared" si="53" ref="N567:N626">IF(M567&gt;0,1000/M567-10,1000)</f>
        <v>0.6269925611053626</v>
      </c>
    </row>
    <row r="568" spans="10:14" ht="12.75">
      <c r="J568" s="4">
        <f t="shared" si="50"/>
        <v>2.0798911023013824</v>
      </c>
      <c r="K568" s="4">
        <f t="shared" si="51"/>
        <v>2.7098045421059935</v>
      </c>
      <c r="L568" s="4">
        <f t="shared" si="52"/>
        <v>4.478332267428132</v>
      </c>
      <c r="M568" s="4">
        <f aca="true" t="shared" si="54" ref="M568:M626">M567+0.1</f>
        <v>94.19999999999862</v>
      </c>
      <c r="N568" s="4">
        <f t="shared" si="53"/>
        <v>0.6157112526540836</v>
      </c>
    </row>
    <row r="569" spans="10:14" ht="12.75">
      <c r="J569" s="4">
        <f t="shared" si="50"/>
        <v>2.0894212545384465</v>
      </c>
      <c r="K569" s="4">
        <f t="shared" si="51"/>
        <v>2.719962116222392</v>
      </c>
      <c r="L569" s="4">
        <f t="shared" si="52"/>
        <v>4.489510310355759</v>
      </c>
      <c r="M569" s="4">
        <f t="shared" si="54"/>
        <v>94.29999999999862</v>
      </c>
      <c r="N569" s="4">
        <f t="shared" si="53"/>
        <v>0.604453870625818</v>
      </c>
    </row>
    <row r="570" spans="10:14" ht="12.75">
      <c r="J570" s="4">
        <f t="shared" si="50"/>
        <v>2.0989882993836164</v>
      </c>
      <c r="K570" s="4">
        <f t="shared" si="51"/>
        <v>2.730148497560578</v>
      </c>
      <c r="L570" s="4">
        <f t="shared" si="52"/>
        <v>4.500702149991035</v>
      </c>
      <c r="M570" s="4">
        <f t="shared" si="54"/>
        <v>94.39999999999861</v>
      </c>
      <c r="N570" s="4">
        <f t="shared" si="53"/>
        <v>0.5932203389832065</v>
      </c>
    </row>
    <row r="571" spans="10:14" ht="12.75">
      <c r="J571" s="4">
        <f t="shared" si="50"/>
        <v>2.108592422799208</v>
      </c>
      <c r="K571" s="4">
        <f t="shared" si="51"/>
        <v>2.740363789171106</v>
      </c>
      <c r="L571" s="4">
        <f t="shared" si="52"/>
        <v>4.511907802855497</v>
      </c>
      <c r="M571" s="4">
        <f t="shared" si="54"/>
        <v>94.49999999999861</v>
      </c>
      <c r="N571" s="4">
        <f t="shared" si="53"/>
        <v>0.5820105820107386</v>
      </c>
    </row>
    <row r="572" spans="10:14" ht="12.75">
      <c r="J572" s="4">
        <f t="shared" si="50"/>
        <v>2.118233812110627</v>
      </c>
      <c r="K572" s="4">
        <f t="shared" si="51"/>
        <v>2.750608094672361</v>
      </c>
      <c r="L572" s="4">
        <f t="shared" si="52"/>
        <v>4.5231272855303315</v>
      </c>
      <c r="M572" s="4">
        <f t="shared" si="54"/>
        <v>94.5999999999986</v>
      </c>
      <c r="N572" s="4">
        <f t="shared" si="53"/>
        <v>0.5708245243130534</v>
      </c>
    </row>
    <row r="573" spans="10:14" ht="12.75">
      <c r="J573" s="4">
        <f t="shared" si="50"/>
        <v>2.1279126560182613</v>
      </c>
      <c r="K573" s="4">
        <f t="shared" si="51"/>
        <v>2.7608815182540343</v>
      </c>
      <c r="L573" s="4">
        <f t="shared" si="52"/>
        <v>4.534360614656419</v>
      </c>
      <c r="M573" s="4">
        <f t="shared" si="54"/>
        <v>94.6999999999986</v>
      </c>
      <c r="N573" s="4">
        <f t="shared" si="53"/>
        <v>0.5596620908132497</v>
      </c>
    </row>
    <row r="574" spans="10:14" ht="12.75">
      <c r="J574" s="4">
        <f t="shared" si="50"/>
        <v>2.137629144609496</v>
      </c>
      <c r="K574" s="4">
        <f t="shared" si="51"/>
        <v>2.7711841646806343</v>
      </c>
      <c r="L574" s="4">
        <f t="shared" si="52"/>
        <v>4.545607806934353</v>
      </c>
      <c r="M574" s="4">
        <f t="shared" si="54"/>
        <v>94.79999999999859</v>
      </c>
      <c r="N574" s="4">
        <f t="shared" si="53"/>
        <v>0.5485232067512111</v>
      </c>
    </row>
    <row r="575" spans="10:14" ht="12.75">
      <c r="J575" s="4">
        <f t="shared" si="50"/>
        <v>2.1473834693708707</v>
      </c>
      <c r="K575" s="4">
        <f t="shared" si="51"/>
        <v>2.7815161392950345</v>
      </c>
      <c r="L575" s="4">
        <f t="shared" si="52"/>
        <v>4.556868879124489</v>
      </c>
      <c r="M575" s="4">
        <f t="shared" si="54"/>
        <v>94.89999999999858</v>
      </c>
      <c r="N575" s="4">
        <f t="shared" si="53"/>
        <v>0.5374077976819276</v>
      </c>
    </row>
    <row r="576" spans="10:14" ht="12.75">
      <c r="J576" s="4">
        <f t="shared" si="50"/>
        <v>2.157175823200358</v>
      </c>
      <c r="K576" s="4">
        <f t="shared" si="51"/>
        <v>2.791877548022037</v>
      </c>
      <c r="L576" s="4">
        <f t="shared" si="52"/>
        <v>4.568143848046978</v>
      </c>
      <c r="M576" s="4">
        <f t="shared" si="54"/>
        <v>94.99999999999858</v>
      </c>
      <c r="N576" s="4">
        <f t="shared" si="53"/>
        <v>0.5263157894738413</v>
      </c>
    </row>
    <row r="577" spans="10:14" ht="12.75">
      <c r="J577" s="4">
        <f t="shared" si="50"/>
        <v>2.1670064004197727</v>
      </c>
      <c r="K577" s="4">
        <f t="shared" si="51"/>
        <v>2.8022684973719647</v>
      </c>
      <c r="L577" s="4">
        <f t="shared" si="52"/>
        <v>4.5794327305817895</v>
      </c>
      <c r="M577" s="4">
        <f t="shared" si="54"/>
        <v>95.09999999999857</v>
      </c>
      <c r="N577" s="4">
        <f t="shared" si="53"/>
        <v>0.5152471083072037</v>
      </c>
    </row>
    <row r="578" spans="10:14" ht="12.75">
      <c r="J578" s="4">
        <f t="shared" si="50"/>
        <v>2.1768753967873304</v>
      </c>
      <c r="K578" s="4">
        <f t="shared" si="51"/>
        <v>2.8126890944443</v>
      </c>
      <c r="L578" s="4">
        <f t="shared" si="52"/>
        <v>4.59073554366877</v>
      </c>
      <c r="M578" s="4">
        <f t="shared" si="54"/>
        <v>95.19999999999857</v>
      </c>
      <c r="N578" s="4">
        <f t="shared" si="53"/>
        <v>0.504201680672427</v>
      </c>
    </row>
    <row r="579" spans="10:14" ht="12.75">
      <c r="J579" s="4">
        <f t="shared" si="50"/>
        <v>2.186783009510326</v>
      </c>
      <c r="K579" s="4">
        <f t="shared" si="51"/>
        <v>2.823139446931327</v>
      </c>
      <c r="L579" s="4">
        <f t="shared" si="52"/>
        <v>4.60205230430766</v>
      </c>
      <c r="M579" s="4">
        <f t="shared" si="54"/>
        <v>95.29999999999856</v>
      </c>
      <c r="N579" s="4">
        <f t="shared" si="53"/>
        <v>0.4931794333684696</v>
      </c>
    </row>
    <row r="580" spans="10:14" ht="12.75">
      <c r="J580" s="4">
        <f t="shared" si="50"/>
        <v>2.1967294372579644</v>
      </c>
      <c r="K580" s="4">
        <f t="shared" si="51"/>
        <v>2.833619663121827</v>
      </c>
      <c r="L580" s="4">
        <f t="shared" si="52"/>
        <v>4.613383029558152</v>
      </c>
      <c r="M580" s="4">
        <f t="shared" si="54"/>
        <v>95.39999999999856</v>
      </c>
      <c r="N580" s="4">
        <f t="shared" si="53"/>
        <v>0.48218029350120695</v>
      </c>
    </row>
    <row r="581" spans="10:14" ht="12.75">
      <c r="J581" s="4">
        <f t="shared" si="50"/>
        <v>2.2067148801743213</v>
      </c>
      <c r="K581" s="4">
        <f t="shared" si="51"/>
        <v>2.8441298519047904</v>
      </c>
      <c r="L581" s="4">
        <f t="shared" si="52"/>
        <v>4.624727736539914</v>
      </c>
      <c r="M581" s="4">
        <f t="shared" si="54"/>
        <v>95.49999999999855</v>
      </c>
      <c r="N581" s="4">
        <f t="shared" si="53"/>
        <v>0.47120418848183476</v>
      </c>
    </row>
    <row r="582" spans="10:14" ht="12.75">
      <c r="J582" s="4">
        <f t="shared" si="50"/>
        <v>2.2167395398914547</v>
      </c>
      <c r="K582" s="4">
        <f t="shared" si="51"/>
        <v>2.8546701227731663</v>
      </c>
      <c r="L582" s="4">
        <f t="shared" si="52"/>
        <v>4.636086442432645</v>
      </c>
      <c r="M582" s="4">
        <f t="shared" si="54"/>
        <v>95.59999999999854</v>
      </c>
      <c r="N582" s="4">
        <f t="shared" si="53"/>
        <v>0.4602510460252631</v>
      </c>
    </row>
    <row r="583" spans="10:14" ht="12.75">
      <c r="J583" s="4">
        <f t="shared" si="50"/>
        <v>2.2268036195426495</v>
      </c>
      <c r="K583" s="4">
        <f t="shared" si="51"/>
        <v>2.865240585827632</v>
      </c>
      <c r="L583" s="4">
        <f t="shared" si="52"/>
        <v>4.647459164476103</v>
      </c>
      <c r="M583" s="4">
        <f t="shared" si="54"/>
        <v>95.69999999999854</v>
      </c>
      <c r="N583" s="4">
        <f t="shared" si="53"/>
        <v>0.4493207941485391</v>
      </c>
    </row>
    <row r="584" spans="10:14" ht="12.75">
      <c r="J584" s="4">
        <f t="shared" si="50"/>
        <v>2.2369073237758186</v>
      </c>
      <c r="K584" s="4">
        <f t="shared" si="51"/>
        <v>2.87584135178041</v>
      </c>
      <c r="L584" s="4">
        <f t="shared" si="52"/>
        <v>4.658845919970162</v>
      </c>
      <c r="M584" s="4">
        <f t="shared" si="54"/>
        <v>95.79999999999853</v>
      </c>
      <c r="N584" s="4">
        <f t="shared" si="53"/>
        <v>0.4384133611692622</v>
      </c>
    </row>
    <row r="585" spans="10:14" ht="12.75">
      <c r="J585" s="4">
        <f t="shared" si="50"/>
        <v>2.247050858767048</v>
      </c>
      <c r="K585" s="4">
        <f t="shared" si="51"/>
        <v>2.8864725319591003</v>
      </c>
      <c r="L585" s="4">
        <f t="shared" si="52"/>
        <v>4.670246726274844</v>
      </c>
      <c r="M585" s="4">
        <f t="shared" si="54"/>
        <v>95.89999999999853</v>
      </c>
      <c r="N585" s="4">
        <f t="shared" si="53"/>
        <v>0.42752867570401776</v>
      </c>
    </row>
    <row r="586" spans="10:14" ht="12.75">
      <c r="J586" s="4">
        <f t="shared" si="50"/>
        <v>2.257234432234281</v>
      </c>
      <c r="K586" s="4">
        <f t="shared" si="51"/>
        <v>2.8971342383105507</v>
      </c>
      <c r="L586" s="4">
        <f t="shared" si="52"/>
        <v>4.681661600810368</v>
      </c>
      <c r="M586" s="4">
        <f t="shared" si="54"/>
        <v>95.99999999999852</v>
      </c>
      <c r="N586" s="4">
        <f t="shared" si="53"/>
        <v>0.4166666666668277</v>
      </c>
    </row>
    <row r="587" spans="10:14" ht="12.75">
      <c r="J587" s="4">
        <f t="shared" si="50"/>
        <v>2.2674582534511742</v>
      </c>
      <c r="K587" s="4">
        <f t="shared" si="51"/>
        <v>2.9078265834047627</v>
      </c>
      <c r="L587" s="4">
        <f t="shared" si="52"/>
        <v>4.693090561057198</v>
      </c>
      <c r="M587" s="4">
        <f t="shared" si="54"/>
        <v>96.09999999999852</v>
      </c>
      <c r="N587" s="4">
        <f t="shared" si="53"/>
        <v>0.4058272632675912</v>
      </c>
    </row>
    <row r="588" spans="10:14" ht="12.75">
      <c r="J588" s="4">
        <f t="shared" si="50"/>
        <v>2.277722533261085</v>
      </c>
      <c r="K588" s="4">
        <f t="shared" si="51"/>
        <v>2.9185496804388205</v>
      </c>
      <c r="L588" s="4">
        <f t="shared" si="52"/>
        <v>4.704533624556084</v>
      </c>
      <c r="M588" s="4">
        <f t="shared" si="54"/>
        <v>96.19999999999851</v>
      </c>
      <c r="N588" s="4">
        <f t="shared" si="53"/>
        <v>0.3950103950105568</v>
      </c>
    </row>
    <row r="589" spans="10:14" ht="12.75">
      <c r="J589" s="4">
        <f t="shared" si="50"/>
        <v>2.2880274840912285</v>
      </c>
      <c r="K589" s="4">
        <f t="shared" si="51"/>
        <v>2.9293036432408646</v>
      </c>
      <c r="L589" s="4">
        <f t="shared" si="52"/>
        <v>4.715990808908116</v>
      </c>
      <c r="M589" s="4">
        <f t="shared" si="54"/>
        <v>96.2999999999985</v>
      </c>
      <c r="N589" s="4">
        <f t="shared" si="53"/>
        <v>0.38421599169278764</v>
      </c>
    </row>
    <row r="590" spans="10:14" ht="12.75">
      <c r="J590" s="4">
        <f t="shared" si="50"/>
        <v>2.2983733199669794</v>
      </c>
      <c r="K590" s="4">
        <f t="shared" si="51"/>
        <v>2.9400885862740727</v>
      </c>
      <c r="L590" s="4">
        <f t="shared" si="52"/>
        <v>4.7274621317747565</v>
      </c>
      <c r="M590" s="4">
        <f t="shared" si="54"/>
        <v>96.3999999999985</v>
      </c>
      <c r="N590" s="4">
        <f t="shared" si="53"/>
        <v>0.3734439834026517</v>
      </c>
    </row>
    <row r="591" spans="10:14" ht="12.75">
      <c r="J591" s="4">
        <f t="shared" si="50"/>
        <v>2.3087602565263574</v>
      </c>
      <c r="K591" s="4">
        <f t="shared" si="51"/>
        <v>2.9509046246407182</v>
      </c>
      <c r="L591" s="4">
        <f t="shared" si="52"/>
        <v>4.738947610877918</v>
      </c>
      <c r="M591" s="4">
        <f t="shared" si="54"/>
        <v>96.4999999999985</v>
      </c>
      <c r="N591" s="4">
        <f t="shared" si="53"/>
        <v>0.3626943005182959</v>
      </c>
    </row>
    <row r="592" spans="10:14" ht="12.75">
      <c r="J592" s="4">
        <f t="shared" si="50"/>
        <v>2.319188511034632</v>
      </c>
      <c r="K592" s="4">
        <f t="shared" si="51"/>
        <v>2.961751874086208</v>
      </c>
      <c r="L592" s="4">
        <f t="shared" si="52"/>
        <v>4.7504472639999795</v>
      </c>
      <c r="M592" s="4">
        <f t="shared" si="54"/>
        <v>96.59999999999849</v>
      </c>
      <c r="N592" s="4">
        <f t="shared" si="53"/>
        <v>0.3519668737061661</v>
      </c>
    </row>
    <row r="593" spans="10:14" ht="12.75">
      <c r="J593" s="4">
        <f t="shared" si="50"/>
        <v>2.3296583023991357</v>
      </c>
      <c r="K593" s="4">
        <f t="shared" si="51"/>
        <v>2.972630451003198</v>
      </c>
      <c r="L593" s="4">
        <f t="shared" si="52"/>
        <v>4.7619611089838605</v>
      </c>
      <c r="M593" s="4">
        <f t="shared" si="54"/>
        <v>96.69999999999848</v>
      </c>
      <c r="N593" s="4">
        <f t="shared" si="53"/>
        <v>0.34126163391950115</v>
      </c>
    </row>
    <row r="594" spans="10:14" ht="12.75">
      <c r="J594" s="4">
        <f t="shared" si="50"/>
        <v>2.3401698511842133</v>
      </c>
      <c r="K594" s="4">
        <f t="shared" si="51"/>
        <v>2.9835404724357195</v>
      </c>
      <c r="L594" s="4">
        <f t="shared" si="52"/>
        <v>4.7734891637330685</v>
      </c>
      <c r="M594" s="4">
        <f t="shared" si="54"/>
        <v>96.79999999999848</v>
      </c>
      <c r="N594" s="4">
        <f t="shared" si="53"/>
        <v>0.33057851239685654</v>
      </c>
    </row>
    <row r="595" spans="10:14" ht="12.75">
      <c r="J595" s="4">
        <f t="shared" si="50"/>
        <v>2.350723379626341</v>
      </c>
      <c r="K595" s="4">
        <f t="shared" si="51"/>
        <v>2.994482056083341</v>
      </c>
      <c r="L595" s="4">
        <f t="shared" si="52"/>
        <v>4.7850314462117405</v>
      </c>
      <c r="M595" s="4">
        <f t="shared" si="54"/>
        <v>96.89999999999847</v>
      </c>
      <c r="N595" s="4">
        <f t="shared" si="53"/>
        <v>0.3199174406606371</v>
      </c>
    </row>
    <row r="596" spans="10:14" ht="12.75">
      <c r="J596" s="4">
        <f t="shared" si="50"/>
        <v>2.3613191116494305</v>
      </c>
      <c r="K596" s="4">
        <f t="shared" si="51"/>
        <v>3.0054553203053733</v>
      </c>
      <c r="L596" s="4">
        <f t="shared" si="52"/>
        <v>4.796587974444707</v>
      </c>
      <c r="M596" s="4">
        <f t="shared" si="54"/>
        <v>96.99999999999847</v>
      </c>
      <c r="N596" s="4">
        <f t="shared" si="53"/>
        <v>0.30927835051562624</v>
      </c>
    </row>
    <row r="597" spans="10:14" ht="12.75">
      <c r="J597" s="4">
        <f t="shared" si="50"/>
        <v>2.37195727288029</v>
      </c>
      <c r="K597" s="4">
        <f t="shared" si="51"/>
        <v>3.016460384125102</v>
      </c>
      <c r="L597" s="4">
        <f t="shared" si="52"/>
        <v>4.808158766517543</v>
      </c>
      <c r="M597" s="4">
        <f t="shared" si="54"/>
        <v>97.09999999999846</v>
      </c>
      <c r="N597" s="4">
        <f t="shared" si="53"/>
        <v>0.29866117404753645</v>
      </c>
    </row>
    <row r="598" spans="10:14" ht="12.75">
      <c r="J598" s="4">
        <f t="shared" si="50"/>
        <v>2.3826380906642632</v>
      </c>
      <c r="K598" s="4">
        <f t="shared" si="51"/>
        <v>3.027497367234057</v>
      </c>
      <c r="L598" s="4">
        <f t="shared" si="52"/>
        <v>4.819743840576622</v>
      </c>
      <c r="M598" s="4">
        <f t="shared" si="54"/>
        <v>97.19999999999845</v>
      </c>
      <c r="N598" s="4">
        <f t="shared" si="53"/>
        <v>0.2880658436215633</v>
      </c>
    </row>
    <row r="599" spans="10:14" ht="12.75">
      <c r="J599" s="4">
        <f t="shared" si="50"/>
        <v>2.393361794081052</v>
      </c>
      <c r="K599" s="4">
        <f t="shared" si="51"/>
        <v>3.038566389996322</v>
      </c>
      <c r="L599" s="4">
        <f t="shared" si="52"/>
        <v>4.831343214829179</v>
      </c>
      <c r="M599" s="4">
        <f t="shared" si="54"/>
        <v>97.29999999999845</v>
      </c>
      <c r="N599" s="4">
        <f t="shared" si="53"/>
        <v>0.2774922918809448</v>
      </c>
    </row>
    <row r="600" spans="10:14" ht="12.75">
      <c r="J600" s="4">
        <f t="shared" si="50"/>
        <v>2.4041286139607005</v>
      </c>
      <c r="K600" s="4">
        <f t="shared" si="51"/>
        <v>3.049667573452866</v>
      </c>
      <c r="L600" s="4">
        <f t="shared" si="52"/>
        <v>4.842956907543349</v>
      </c>
      <c r="M600" s="4">
        <f t="shared" si="54"/>
        <v>97.39999999999844</v>
      </c>
      <c r="N600" s="4">
        <f t="shared" si="53"/>
        <v>0.26694045174554404</v>
      </c>
    </row>
    <row r="601" spans="10:14" ht="12.75">
      <c r="J601" s="4">
        <f t="shared" si="50"/>
        <v>2.414938782899779</v>
      </c>
      <c r="K601" s="4">
        <f t="shared" si="51"/>
        <v>3.0608010393259284</v>
      </c>
      <c r="L601" s="4">
        <f t="shared" si="52"/>
        <v>4.854584937048247</v>
      </c>
      <c r="M601" s="4">
        <f t="shared" si="54"/>
        <v>97.49999999999844</v>
      </c>
      <c r="N601" s="4">
        <f t="shared" si="53"/>
        <v>0.2564102564104207</v>
      </c>
    </row>
    <row r="602" spans="10:14" ht="12.75">
      <c r="J602" s="4">
        <f t="shared" si="50"/>
        <v>2.4257925352777394</v>
      </c>
      <c r="K602" s="4">
        <f t="shared" si="51"/>
        <v>3.0719669100234284</v>
      </c>
      <c r="L602" s="4">
        <f t="shared" si="52"/>
        <v>4.8662273217340095</v>
      </c>
      <c r="M602" s="4">
        <f t="shared" si="54"/>
        <v>97.59999999999843</v>
      </c>
      <c r="N602" s="4">
        <f t="shared" si="53"/>
        <v>0.24590163934442621</v>
      </c>
    </row>
    <row r="603" spans="10:14" ht="12.75">
      <c r="J603" s="4">
        <f t="shared" si="50"/>
        <v>2.4366901072734577</v>
      </c>
      <c r="K603" s="4">
        <f t="shared" si="51"/>
        <v>3.0831653086434123</v>
      </c>
      <c r="L603" s="4">
        <f t="shared" si="52"/>
        <v>4.877884080051864</v>
      </c>
      <c r="M603" s="4">
        <f t="shared" si="54"/>
        <v>97.69999999999843</v>
      </c>
      <c r="N603" s="4">
        <f t="shared" si="53"/>
        <v>0.23541453428880388</v>
      </c>
    </row>
    <row r="604" spans="10:14" ht="12.75">
      <c r="J604" s="4">
        <f t="shared" si="50"/>
        <v>2.4476317368819718</v>
      </c>
      <c r="K604" s="4">
        <f t="shared" si="51"/>
        <v>3.0943963589785466</v>
      </c>
      <c r="L604" s="4">
        <f t="shared" si="52"/>
        <v>4.889555230514184</v>
      </c>
      <c r="M604" s="4">
        <f t="shared" si="54"/>
        <v>97.79999999999842</v>
      </c>
      <c r="N604" s="4">
        <f t="shared" si="53"/>
        <v>0.2249488752557891</v>
      </c>
    </row>
    <row r="605" spans="10:14" ht="12.75">
      <c r="J605" s="4">
        <f t="shared" si="50"/>
        <v>2.458617663931397</v>
      </c>
      <c r="K605" s="4">
        <f t="shared" si="51"/>
        <v>3.105660185520633</v>
      </c>
      <c r="L605" s="4">
        <f t="shared" si="52"/>
        <v>4.901240791694551</v>
      </c>
      <c r="M605" s="4">
        <f t="shared" si="54"/>
        <v>97.89999999999841</v>
      </c>
      <c r="N605" s="4">
        <f t="shared" si="53"/>
        <v>0.21450459652723453</v>
      </c>
    </row>
    <row r="606" spans="10:14" ht="12.75">
      <c r="J606" s="4">
        <f t="shared" si="50"/>
        <v>2.469648130100048</v>
      </c>
      <c r="K606" s="4">
        <f t="shared" si="51"/>
        <v>3.116956913465178</v>
      </c>
      <c r="L606" s="4">
        <f t="shared" si="52"/>
        <v>4.91294078222782</v>
      </c>
      <c r="M606" s="4">
        <f t="shared" si="54"/>
        <v>97.99999999999841</v>
      </c>
      <c r="N606" s="4">
        <f t="shared" si="53"/>
        <v>0.2040816326532262</v>
      </c>
    </row>
    <row r="607" spans="10:14" ht="12.75">
      <c r="J607" s="4">
        <f t="shared" si="50"/>
        <v>2.480723378933741</v>
      </c>
      <c r="K607" s="4">
        <f t="shared" si="51"/>
        <v>3.1282866687159836</v>
      </c>
      <c r="L607" s="4">
        <f t="shared" si="52"/>
        <v>4.924655220810171</v>
      </c>
      <c r="M607" s="4">
        <f t="shared" si="54"/>
        <v>98.0999999999984</v>
      </c>
      <c r="N607" s="4">
        <f t="shared" si="53"/>
        <v>0.19367991845072652</v>
      </c>
    </row>
    <row r="608" spans="10:14" ht="12.75">
      <c r="J608" s="4">
        <f t="shared" si="50"/>
        <v>2.4918436558633172</v>
      </c>
      <c r="K608" s="4">
        <f t="shared" si="51"/>
        <v>3.139649577889795</v>
      </c>
      <c r="L608" s="4">
        <f t="shared" si="52"/>
        <v>4.936384126199188</v>
      </c>
      <c r="M608" s="4">
        <f t="shared" si="54"/>
        <v>98.1999999999984</v>
      </c>
      <c r="N608" s="4">
        <f t="shared" si="53"/>
        <v>0.18329938900220277</v>
      </c>
    </row>
    <row r="609" spans="10:14" ht="12.75">
      <c r="J609" s="4">
        <f t="shared" si="50"/>
        <v>2.503009208222339</v>
      </c>
      <c r="K609" s="4">
        <f t="shared" si="51"/>
        <v>3.15104576832097</v>
      </c>
      <c r="L609" s="4">
        <f t="shared" si="52"/>
        <v>4.948127517213914</v>
      </c>
      <c r="M609" s="4">
        <f t="shared" si="54"/>
        <v>98.29999999999839</v>
      </c>
      <c r="N609" s="4">
        <f t="shared" si="53"/>
        <v>0.1729399796542861</v>
      </c>
    </row>
    <row r="610" spans="10:14" ht="12.75">
      <c r="J610" s="4">
        <f t="shared" si="50"/>
        <v>2.51422028526501</v>
      </c>
      <c r="K610" s="4">
        <f t="shared" si="51"/>
        <v>3.1624753680661932</v>
      </c>
      <c r="L610" s="4">
        <f t="shared" si="52"/>
        <v>4.959885412734915</v>
      </c>
      <c r="M610" s="4">
        <f t="shared" si="54"/>
        <v>98.39999999999839</v>
      </c>
      <c r="N610" s="4">
        <f t="shared" si="53"/>
        <v>0.1626016260164267</v>
      </c>
    </row>
    <row r="611" spans="10:14" ht="12.75">
      <c r="J611" s="4">
        <f t="shared" si="50"/>
        <v>2.525477138184295</v>
      </c>
      <c r="K611" s="4">
        <f t="shared" si="51"/>
        <v>3.173938505909239</v>
      </c>
      <c r="L611" s="4">
        <f t="shared" si="52"/>
        <v>4.97165783170435</v>
      </c>
      <c r="M611" s="4">
        <f t="shared" si="54"/>
        <v>98.49999999999838</v>
      </c>
      <c r="N611" s="4">
        <f t="shared" si="53"/>
        <v>0.15228426395955807</v>
      </c>
    </row>
    <row r="612" spans="10:14" ht="12.75">
      <c r="J612" s="4">
        <f t="shared" si="50"/>
        <v>2.536780020130247</v>
      </c>
      <c r="K612" s="4">
        <f t="shared" si="51"/>
        <v>3.1854353113657585</v>
      </c>
      <c r="L612" s="4">
        <f t="shared" si="52"/>
        <v>4.983444793126042</v>
      </c>
      <c r="M612" s="4">
        <f t="shared" si="54"/>
        <v>98.59999999999837</v>
      </c>
      <c r="N612" s="4">
        <f t="shared" si="53"/>
        <v>0.14198782961477185</v>
      </c>
    </row>
    <row r="613" spans="10:14" ht="12.75">
      <c r="J613" s="4">
        <f t="shared" si="50"/>
        <v>2.548129186228546</v>
      </c>
      <c r="K613" s="4">
        <f t="shared" si="51"/>
        <v>3.1969659146881177</v>
      </c>
      <c r="L613" s="4">
        <f t="shared" si="52"/>
        <v>4.9952463160655345</v>
      </c>
      <c r="M613" s="4">
        <f t="shared" si="54"/>
        <v>98.69999999999837</v>
      </c>
      <c r="N613" s="4">
        <f t="shared" si="53"/>
        <v>0.13171225937200148</v>
      </c>
    </row>
    <row r="614" spans="10:14" ht="12.75">
      <c r="J614" s="4">
        <f t="shared" si="50"/>
        <v>2.5595248935992556</v>
      </c>
      <c r="K614" s="4">
        <f t="shared" si="51"/>
        <v>3.2085304468702724</v>
      </c>
      <c r="L614" s="4">
        <f t="shared" si="52"/>
        <v>5.007062419650171</v>
      </c>
      <c r="M614" s="4">
        <f t="shared" si="54"/>
        <v>98.79999999999836</v>
      </c>
      <c r="N614" s="4">
        <f t="shared" si="53"/>
        <v>0.12145748987870952</v>
      </c>
    </row>
    <row r="615" spans="10:14" ht="12.75">
      <c r="J615" s="4">
        <f t="shared" si="50"/>
        <v>2.5709674013757926</v>
      </c>
      <c r="K615" s="4">
        <f t="shared" si="51"/>
        <v>3.220129039652682</v>
      </c>
      <c r="L615" s="4">
        <f t="shared" si="52"/>
        <v>5.018893123069153</v>
      </c>
      <c r="M615" s="4">
        <f t="shared" si="54"/>
        <v>98.89999999999836</v>
      </c>
      <c r="N615" s="4">
        <f t="shared" si="53"/>
        <v>0.1112234580385909</v>
      </c>
    </row>
    <row r="616" spans="10:14" ht="12.75">
      <c r="J616" s="4">
        <f t="shared" si="50"/>
        <v>2.582456970724126</v>
      </c>
      <c r="K616" s="4">
        <f t="shared" si="51"/>
        <v>3.231761825527275</v>
      </c>
      <c r="L616" s="4">
        <f t="shared" si="52"/>
        <v>5.030738445573628</v>
      </c>
      <c r="M616" s="4">
        <f t="shared" si="54"/>
        <v>98.99999999999835</v>
      </c>
      <c r="N616" s="4">
        <f t="shared" si="53"/>
        <v>0.10101010101026908</v>
      </c>
    </row>
    <row r="617" spans="10:14" ht="12.75">
      <c r="J617" s="4">
        <f t="shared" si="50"/>
        <v>2.593993864862182</v>
      </c>
      <c r="K617" s="4">
        <f t="shared" si="51"/>
        <v>3.2434289377424377</v>
      </c>
      <c r="L617" s="4">
        <f t="shared" si="52"/>
        <v>5.042598406476738</v>
      </c>
      <c r="M617" s="4">
        <f t="shared" si="54"/>
        <v>99.09999999999835</v>
      </c>
      <c r="N617" s="4">
        <f t="shared" si="53"/>
        <v>0.0908173562060206</v>
      </c>
    </row>
    <row r="618" spans="10:14" ht="12.75">
      <c r="J618" s="4">
        <f t="shared" si="50"/>
        <v>2.6055783490794933</v>
      </c>
      <c r="K618" s="4">
        <f t="shared" si="51"/>
        <v>3.255130510308063</v>
      </c>
      <c r="L618" s="4">
        <f t="shared" si="52"/>
        <v>5.054473025153711</v>
      </c>
      <c r="M618" s="4">
        <f t="shared" si="54"/>
        <v>99.19999999999834</v>
      </c>
      <c r="N618" s="4">
        <f t="shared" si="53"/>
        <v>0.08064516129049082</v>
      </c>
    </row>
    <row r="619" spans="10:14" ht="12.75">
      <c r="J619" s="4">
        <f t="shared" si="50"/>
        <v>2.617210690757068</v>
      </c>
      <c r="K619" s="4">
        <f t="shared" si="51"/>
        <v>3.266866678000633</v>
      </c>
      <c r="L619" s="4">
        <f t="shared" si="52"/>
        <v>5.066362321041921</v>
      </c>
      <c r="M619" s="4">
        <f t="shared" si="54"/>
        <v>99.29999999999833</v>
      </c>
      <c r="N619" s="4">
        <f t="shared" si="53"/>
        <v>0.07049345417942376</v>
      </c>
    </row>
    <row r="620" spans="10:14" ht="12.75">
      <c r="J620" s="4">
        <f t="shared" si="50"/>
        <v>2.6288911593874937</v>
      </c>
      <c r="K620" s="4">
        <f t="shared" si="51"/>
        <v>3.278637576368342</v>
      </c>
      <c r="L620" s="4">
        <f t="shared" si="52"/>
        <v>5.078266313640971</v>
      </c>
      <c r="M620" s="4">
        <f t="shared" si="54"/>
        <v>99.39999999999833</v>
      </c>
      <c r="N620" s="4">
        <f t="shared" si="53"/>
        <v>0.06036217303839919</v>
      </c>
    </row>
    <row r="621" spans="10:14" ht="12.75">
      <c r="J621" s="4">
        <f t="shared" si="50"/>
        <v>2.6406200265952777</v>
      </c>
      <c r="K621" s="4">
        <f t="shared" si="51"/>
        <v>3.290443341736276</v>
      </c>
      <c r="L621" s="4">
        <f t="shared" si="52"/>
        <v>5.090185022512762</v>
      </c>
      <c r="M621" s="4">
        <f t="shared" si="54"/>
        <v>99.49999999999832</v>
      </c>
      <c r="N621" s="4">
        <f t="shared" si="53"/>
        <v>0.05025125628157667</v>
      </c>
    </row>
    <row r="622" spans="10:14" ht="12.75">
      <c r="J622" s="4">
        <f t="shared" si="50"/>
        <v>2.652397566157421</v>
      </c>
      <c r="K622" s="4">
        <f t="shared" si="51"/>
        <v>3.302284111211614</v>
      </c>
      <c r="L622" s="4">
        <f t="shared" si="52"/>
        <v>5.102118467281566</v>
      </c>
      <c r="M622" s="4">
        <f t="shared" si="54"/>
        <v>99.59999999999832</v>
      </c>
      <c r="N622" s="4">
        <f t="shared" si="53"/>
        <v>0.04016064257045038</v>
      </c>
    </row>
    <row r="623" spans="10:14" ht="12.75">
      <c r="J623" s="4">
        <f t="shared" si="50"/>
        <v>2.6642240540242392</v>
      </c>
      <c r="K623" s="4">
        <f t="shared" si="51"/>
        <v>3.314160022688892</v>
      </c>
      <c r="L623" s="4">
        <f t="shared" si="52"/>
        <v>5.114066667634109</v>
      </c>
      <c r="M623" s="4">
        <f t="shared" si="54"/>
        <v>99.69999999999831</v>
      </c>
      <c r="N623" s="4">
        <f t="shared" si="53"/>
        <v>0.0300902708126074</v>
      </c>
    </row>
    <row r="624" spans="10:14" ht="12.75">
      <c r="J624" s="4">
        <f t="shared" si="50"/>
        <v>2.6760997683404337</v>
      </c>
      <c r="K624" s="4">
        <f t="shared" si="51"/>
        <v>3.326071214855311</v>
      </c>
      <c r="L624" s="4">
        <f t="shared" si="52"/>
        <v>5.126029643319643</v>
      </c>
      <c r="M624" s="4">
        <f t="shared" si="54"/>
        <v>99.7999999999983</v>
      </c>
      <c r="N624" s="4">
        <f t="shared" si="53"/>
        <v>0.020040080160491414</v>
      </c>
    </row>
    <row r="625" spans="10:14" ht="12.75">
      <c r="J625" s="4">
        <f t="shared" si="50"/>
        <v>2.688024989466401</v>
      </c>
      <c r="K625" s="4">
        <f t="shared" si="51"/>
        <v>3.3380178271960776</v>
      </c>
      <c r="L625" s="4">
        <f t="shared" si="52"/>
        <v>5.138007414150025</v>
      </c>
      <c r="M625" s="4">
        <f t="shared" si="54"/>
        <v>99.8999999999983</v>
      </c>
      <c r="N625" s="4">
        <f t="shared" si="53"/>
        <v>0.010010010010180537</v>
      </c>
    </row>
    <row r="626" spans="10:14" ht="12.75">
      <c r="J626" s="4">
        <f t="shared" si="50"/>
        <v>2.6999999999997955</v>
      </c>
      <c r="K626" s="4">
        <f t="shared" si="51"/>
        <v>3.3499999999997954</v>
      </c>
      <c r="L626" s="4">
        <f t="shared" si="52"/>
        <v>5.149999999999796</v>
      </c>
      <c r="M626" s="4">
        <f t="shared" si="54"/>
        <v>99.9999999999983</v>
      </c>
      <c r="N626" s="4">
        <f t="shared" si="53"/>
        <v>1.7053025658242404E-13</v>
      </c>
    </row>
  </sheetData>
  <sheetProtection sheet="1" objects="1" scenarios="1"/>
  <mergeCells count="47">
    <mergeCell ref="A9:B9"/>
    <mergeCell ref="A10:B10"/>
    <mergeCell ref="A12:C12"/>
    <mergeCell ref="A2:B2"/>
    <mergeCell ref="A5:B5"/>
    <mergeCell ref="A4:C4"/>
    <mergeCell ref="A6:B6"/>
    <mergeCell ref="A7:B7"/>
    <mergeCell ref="A8:C8"/>
    <mergeCell ref="A37:C37"/>
    <mergeCell ref="A27:B28"/>
    <mergeCell ref="A29:B30"/>
    <mergeCell ref="A36:C36"/>
    <mergeCell ref="A31:B32"/>
    <mergeCell ref="A26:B26"/>
    <mergeCell ref="A18:B18"/>
    <mergeCell ref="A20:C20"/>
    <mergeCell ref="A21:B21"/>
    <mergeCell ref="A22:B22"/>
    <mergeCell ref="A13:B13"/>
    <mergeCell ref="A14:B14"/>
    <mergeCell ref="A16:C16"/>
    <mergeCell ref="A17:B17"/>
    <mergeCell ref="A51:C51"/>
    <mergeCell ref="A52:C52"/>
    <mergeCell ref="A56:B56"/>
    <mergeCell ref="A57:B58"/>
    <mergeCell ref="A41:B41"/>
    <mergeCell ref="A42:B43"/>
    <mergeCell ref="A44:B45"/>
    <mergeCell ref="A46:B47"/>
    <mergeCell ref="A71:B71"/>
    <mergeCell ref="A72:B73"/>
    <mergeCell ref="A74:B75"/>
    <mergeCell ref="A76:B77"/>
    <mergeCell ref="A59:B60"/>
    <mergeCell ref="A61:B62"/>
    <mergeCell ref="A66:C66"/>
    <mergeCell ref="A67:C67"/>
    <mergeCell ref="A89:B90"/>
    <mergeCell ref="A91:B92"/>
    <mergeCell ref="A96:C96"/>
    <mergeCell ref="A97:C97"/>
    <mergeCell ref="A81:C81"/>
    <mergeCell ref="A82:C82"/>
    <mergeCell ref="A86:B86"/>
    <mergeCell ref="A87:B88"/>
  </mergeCells>
  <printOptions gridLines="1"/>
  <pageMargins left="0.75" right="0.75" top="1" bottom="1" header="0.5" footer="0.5"/>
  <pageSetup fitToHeight="1" fitToWidth="1" horizontalDpi="600" verticalDpi="600" orientation="portrait" paperSize="3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Hirschman Water &amp;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Sherry Wilkins</cp:lastModifiedBy>
  <cp:lastPrinted>2010-10-05T21:29:45Z</cp:lastPrinted>
  <dcterms:created xsi:type="dcterms:W3CDTF">2008-01-28T21:38:32Z</dcterms:created>
  <dcterms:modified xsi:type="dcterms:W3CDTF">2010-11-10T13:55:49Z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Wilkins, Sherry</vt:lpwstr>
  </property>
  <property fmtid="{D5CDD505-2E9C-101B-9397-08002B2CF9AE}" pid="4" name="display_urn:schemas-microsoft-com:office:office#Auth">
    <vt:lpwstr>Wilkins, Sherry</vt:lpwstr>
  </property>
</Properties>
</file>